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D:\2021\2021_INFORMES\2021_12.informe_diciembre\"/>
    </mc:Choice>
  </mc:AlternateContent>
  <xr:revisionPtr revIDLastSave="0" documentId="13_ncr:1_{0DE06D95-DF54-4D5E-BE66-C5F15A3278E2}" xr6:coauthVersionLast="47" xr6:coauthVersionMax="47" xr10:uidLastSave="{00000000-0000-0000-0000-000000000000}"/>
  <bookViews>
    <workbookView xWindow="-108" yWindow="-108" windowWidth="23256" windowHeight="12576" tabRatio="748" xr2:uid="{00000000-000D-0000-FFFF-FFFF00000000}"/>
  </bookViews>
  <sheets>
    <sheet name="gastos" sheetId="1" r:id="rId1"/>
    <sheet name="ejec_ICPA" sheetId="10" r:id="rId2"/>
    <sheet name="vigencia" sheetId="2" r:id="rId3"/>
    <sheet name="POAI" sheetId="11" r:id="rId4"/>
    <sheet name="vig.futuras" sheetId="13" r:id="rId5"/>
    <sheet name="reserva" sheetId="4" r:id="rId6"/>
    <sheet name="ctas por pagar" sheetId="5" r:id="rId7"/>
    <sheet name="comparativo_g" sheetId="14" r:id="rId8"/>
    <sheet name="gas_2019_2020" sheetId="16" state="hidden" r:id="rId9"/>
    <sheet name="ejec_G_publicar" sheetId="17" state="hidden" r:id="rId10"/>
    <sheet name="ej_res" sheetId="6" state="hidden" r:id="rId11"/>
    <sheet name="ej_cxp" sheetId="7" state="hidden" r:id="rId12"/>
    <sheet name="CIERRE" sheetId="8" state="hidden" r:id="rId13"/>
    <sheet name="Hoja2" sheetId="9" state="hidden" r:id="rId14"/>
  </sheets>
  <definedNames>
    <definedName name="_xlnm._FilterDatabase" localSheetId="7" hidden="1">comparativo_g!$A$6:$L$43</definedName>
    <definedName name="_xlnm._FilterDatabase" localSheetId="1" hidden="1">ejec_ICPA!$A$1:$T$213</definedName>
    <definedName name="_xlnm._FilterDatabase" localSheetId="8" hidden="1">gas_2019_2020!$A$9:$K$9</definedName>
    <definedName name="_xlnm._FilterDatabase" localSheetId="0" hidden="1">gastos!$A$1:$AM$122</definedName>
    <definedName name="_xlnm._FilterDatabase" localSheetId="3" hidden="1">POAI!$A$1:$O$27</definedName>
    <definedName name="_xlnm._FilterDatabase" localSheetId="4" hidden="1">vig.futuras!$A$1:$S$6</definedName>
    <definedName name="_xlnm._FilterDatabase" localSheetId="2" hidden="1">vigencia!$A$1:$Z$88</definedName>
    <definedName name="_xlnm.Print_Area" localSheetId="8">gas_2019_2020!$A$1:$K$77</definedName>
    <definedName name="_xlnm.Print_Titles" localSheetId="8">gas_2019_2020!$5:$6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36" i="1" l="1"/>
  <c r="E23" i="14" l="1"/>
  <c r="AJ124" i="1" l="1"/>
  <c r="AI124" i="1"/>
  <c r="AH124" i="1"/>
  <c r="AG124" i="1"/>
  <c r="AF124" i="1"/>
  <c r="AE124" i="1"/>
  <c r="AD124" i="1"/>
  <c r="AC124" i="1"/>
  <c r="AB124" i="1"/>
  <c r="AA124" i="1"/>
  <c r="Z124" i="1"/>
  <c r="Y124" i="1"/>
  <c r="X124" i="1"/>
  <c r="W124" i="1"/>
  <c r="V124" i="1"/>
  <c r="U124" i="1"/>
  <c r="T124" i="1"/>
  <c r="S124" i="1"/>
  <c r="R124" i="1"/>
  <c r="Q124" i="1"/>
  <c r="AM122" i="1"/>
  <c r="AL122" i="1"/>
  <c r="AK122" i="1"/>
  <c r="AM121" i="1"/>
  <c r="AL121" i="1"/>
  <c r="AK121" i="1"/>
  <c r="AM120" i="1"/>
  <c r="AL120" i="1"/>
  <c r="AK120" i="1"/>
  <c r="AM119" i="1"/>
  <c r="AL119" i="1"/>
  <c r="AK119" i="1"/>
  <c r="AM118" i="1"/>
  <c r="AL118" i="1"/>
  <c r="AK118" i="1"/>
  <c r="AM117" i="1"/>
  <c r="AL117" i="1"/>
  <c r="AK117" i="1"/>
  <c r="AM116" i="1"/>
  <c r="AL116" i="1"/>
  <c r="AK116" i="1"/>
  <c r="AM115" i="1"/>
  <c r="AL115" i="1"/>
  <c r="AK115" i="1"/>
  <c r="AM114" i="1"/>
  <c r="AL114" i="1"/>
  <c r="AK114" i="1"/>
  <c r="AM113" i="1"/>
  <c r="AL113" i="1"/>
  <c r="AK113" i="1"/>
  <c r="AM112" i="1"/>
  <c r="AL112" i="1"/>
  <c r="AK112" i="1"/>
  <c r="AM111" i="1"/>
  <c r="AL111" i="1"/>
  <c r="AK111" i="1"/>
  <c r="AM110" i="1"/>
  <c r="AL110" i="1"/>
  <c r="AK110" i="1"/>
  <c r="AM109" i="1"/>
  <c r="AL109" i="1"/>
  <c r="AK109" i="1"/>
  <c r="AM108" i="1"/>
  <c r="AL108" i="1"/>
  <c r="AK108" i="1"/>
  <c r="AM107" i="1"/>
  <c r="AL107" i="1"/>
  <c r="AK107" i="1"/>
  <c r="AM106" i="1"/>
  <c r="AL106" i="1"/>
  <c r="AK106" i="1"/>
  <c r="AM105" i="1"/>
  <c r="AL105" i="1"/>
  <c r="AK105" i="1"/>
  <c r="AM104" i="1"/>
  <c r="AL104" i="1"/>
  <c r="AK104" i="1"/>
  <c r="AM103" i="1"/>
  <c r="AL103" i="1"/>
  <c r="AK103" i="1"/>
  <c r="AM102" i="1"/>
  <c r="AL102" i="1"/>
  <c r="AK102" i="1"/>
  <c r="AM101" i="1"/>
  <c r="AL101" i="1"/>
  <c r="AK101" i="1"/>
  <c r="AM100" i="1"/>
  <c r="AL100" i="1"/>
  <c r="AK100" i="1"/>
  <c r="AM99" i="1"/>
  <c r="AL99" i="1"/>
  <c r="AK99" i="1"/>
  <c r="AM98" i="1"/>
  <c r="AL98" i="1"/>
  <c r="AK98" i="1"/>
  <c r="AM97" i="1"/>
  <c r="AL97" i="1"/>
  <c r="AK97" i="1"/>
  <c r="AM96" i="1"/>
  <c r="AL96" i="1"/>
  <c r="AK96" i="1"/>
  <c r="AM95" i="1"/>
  <c r="AL95" i="1"/>
  <c r="AK95" i="1"/>
  <c r="AM94" i="1"/>
  <c r="AL94" i="1"/>
  <c r="AK94" i="1"/>
  <c r="AM93" i="1"/>
  <c r="AL93" i="1"/>
  <c r="AK93" i="1"/>
  <c r="AM92" i="1"/>
  <c r="AL92" i="1"/>
  <c r="AK92" i="1"/>
  <c r="AM91" i="1"/>
  <c r="AL91" i="1"/>
  <c r="AK91" i="1"/>
  <c r="AM90" i="1"/>
  <c r="AL90" i="1"/>
  <c r="AK90" i="1"/>
  <c r="AM89" i="1"/>
  <c r="AL89" i="1"/>
  <c r="AK89" i="1"/>
  <c r="AM88" i="1"/>
  <c r="AL88" i="1"/>
  <c r="AK88" i="1"/>
  <c r="AM87" i="1"/>
  <c r="AL87" i="1"/>
  <c r="AK87" i="1"/>
  <c r="AM86" i="1"/>
  <c r="AL86" i="1"/>
  <c r="AK86" i="1"/>
  <c r="AM85" i="1"/>
  <c r="AL85" i="1"/>
  <c r="AK85" i="1"/>
  <c r="AM84" i="1"/>
  <c r="AL84" i="1"/>
  <c r="AK84" i="1"/>
  <c r="AM83" i="1"/>
  <c r="AL83" i="1"/>
  <c r="AK83" i="1"/>
  <c r="AM82" i="1"/>
  <c r="AL82" i="1"/>
  <c r="AK82" i="1"/>
  <c r="AM81" i="1"/>
  <c r="AL81" i="1"/>
  <c r="AK81" i="1"/>
  <c r="AM80" i="1"/>
  <c r="AL80" i="1"/>
  <c r="AK80" i="1"/>
  <c r="AM79" i="1"/>
  <c r="AL79" i="1"/>
  <c r="AK79" i="1"/>
  <c r="AM78" i="1"/>
  <c r="AL78" i="1"/>
  <c r="AK78" i="1"/>
  <c r="AM77" i="1"/>
  <c r="AL77" i="1"/>
  <c r="AK77" i="1"/>
  <c r="AM76" i="1"/>
  <c r="AL76" i="1"/>
  <c r="AK76" i="1"/>
  <c r="AM75" i="1"/>
  <c r="AL75" i="1"/>
  <c r="AK75" i="1"/>
  <c r="AM74" i="1"/>
  <c r="AL74" i="1"/>
  <c r="AK74" i="1"/>
  <c r="AM73" i="1"/>
  <c r="AL73" i="1"/>
  <c r="AK73" i="1"/>
  <c r="AM72" i="1"/>
  <c r="AL72" i="1"/>
  <c r="AK72" i="1"/>
  <c r="AM71" i="1"/>
  <c r="AL71" i="1"/>
  <c r="AK71" i="1"/>
  <c r="AM70" i="1"/>
  <c r="AL70" i="1"/>
  <c r="AK70" i="1"/>
  <c r="AM69" i="1"/>
  <c r="AL69" i="1"/>
  <c r="AK69" i="1"/>
  <c r="AM68" i="1"/>
  <c r="AL68" i="1"/>
  <c r="AK68" i="1"/>
  <c r="AM67" i="1"/>
  <c r="AL67" i="1"/>
  <c r="AK67" i="1"/>
  <c r="AM66" i="1"/>
  <c r="AL66" i="1"/>
  <c r="AK66" i="1"/>
  <c r="AM65" i="1"/>
  <c r="AL65" i="1"/>
  <c r="AK65" i="1"/>
  <c r="AM64" i="1"/>
  <c r="AL64" i="1"/>
  <c r="AK64" i="1"/>
  <c r="AM63" i="1"/>
  <c r="AL63" i="1"/>
  <c r="AK63" i="1"/>
  <c r="AM62" i="1"/>
  <c r="AL62" i="1"/>
  <c r="AK62" i="1"/>
  <c r="AM61" i="1"/>
  <c r="AL61" i="1"/>
  <c r="AK61" i="1"/>
  <c r="AM60" i="1"/>
  <c r="AL60" i="1"/>
  <c r="AK60" i="1"/>
  <c r="AM59" i="1"/>
  <c r="AL59" i="1"/>
  <c r="AK59" i="1"/>
  <c r="AM58" i="1"/>
  <c r="AL58" i="1"/>
  <c r="AK58" i="1"/>
  <c r="AM57" i="1"/>
  <c r="AL57" i="1"/>
  <c r="AK57" i="1"/>
  <c r="AM56" i="1"/>
  <c r="AL56" i="1"/>
  <c r="AK56" i="1"/>
  <c r="AM55" i="1"/>
  <c r="AL55" i="1"/>
  <c r="AK55" i="1"/>
  <c r="AM54" i="1"/>
  <c r="AL54" i="1"/>
  <c r="AK54" i="1"/>
  <c r="AM53" i="1"/>
  <c r="AL53" i="1"/>
  <c r="AK53" i="1"/>
  <c r="AM52" i="1"/>
  <c r="AL52" i="1"/>
  <c r="AK52" i="1"/>
  <c r="AM51" i="1"/>
  <c r="AL51" i="1"/>
  <c r="AK51" i="1"/>
  <c r="AM50" i="1"/>
  <c r="AL50" i="1"/>
  <c r="AK50" i="1"/>
  <c r="AM49" i="1"/>
  <c r="AL49" i="1"/>
  <c r="AK49" i="1"/>
  <c r="AM48" i="1"/>
  <c r="AL48" i="1"/>
  <c r="AK48" i="1"/>
  <c r="AM47" i="1"/>
  <c r="AL47" i="1"/>
  <c r="AK47" i="1"/>
  <c r="AM46" i="1"/>
  <c r="AL46" i="1"/>
  <c r="AK46" i="1"/>
  <c r="AM45" i="1"/>
  <c r="AL45" i="1"/>
  <c r="AK45" i="1"/>
  <c r="AM44" i="1"/>
  <c r="AL44" i="1"/>
  <c r="AK44" i="1"/>
  <c r="AM43" i="1"/>
  <c r="AL43" i="1"/>
  <c r="AK43" i="1"/>
  <c r="AM42" i="1"/>
  <c r="AL42" i="1"/>
  <c r="AK42" i="1"/>
  <c r="AM41" i="1"/>
  <c r="AL41" i="1"/>
  <c r="AK41" i="1"/>
  <c r="AM40" i="1"/>
  <c r="AL40" i="1"/>
  <c r="AK40" i="1"/>
  <c r="AM39" i="1"/>
  <c r="AL39" i="1"/>
  <c r="AK39" i="1"/>
  <c r="AM38" i="1"/>
  <c r="AL38" i="1"/>
  <c r="AK38" i="1"/>
  <c r="AM37" i="1"/>
  <c r="AL37" i="1"/>
  <c r="AK37" i="1"/>
  <c r="AM36" i="1"/>
  <c r="AL36" i="1"/>
  <c r="AK36" i="1"/>
  <c r="AM35" i="1"/>
  <c r="AL35" i="1"/>
  <c r="AK35" i="1"/>
  <c r="AM34" i="1"/>
  <c r="AL34" i="1"/>
  <c r="AK34" i="1"/>
  <c r="AM33" i="1"/>
  <c r="AL33" i="1"/>
  <c r="AK33" i="1"/>
  <c r="AM32" i="1"/>
  <c r="AL32" i="1"/>
  <c r="AK32" i="1"/>
  <c r="AM31" i="1"/>
  <c r="AL31" i="1"/>
  <c r="AK31" i="1"/>
  <c r="AM30" i="1"/>
  <c r="AL30" i="1"/>
  <c r="AK30" i="1"/>
  <c r="AM29" i="1"/>
  <c r="AL29" i="1"/>
  <c r="AK29" i="1"/>
  <c r="AM28" i="1"/>
  <c r="AL28" i="1"/>
  <c r="AK28" i="1"/>
  <c r="AM27" i="1"/>
  <c r="AL27" i="1"/>
  <c r="AK27" i="1"/>
  <c r="AM26" i="1"/>
  <c r="AL26" i="1"/>
  <c r="AK26" i="1"/>
  <c r="AM25" i="1"/>
  <c r="AL25" i="1"/>
  <c r="AK25" i="1"/>
  <c r="AM24" i="1"/>
  <c r="AL24" i="1"/>
  <c r="AK24" i="1"/>
  <c r="AM23" i="1"/>
  <c r="AL23" i="1"/>
  <c r="AK23" i="1"/>
  <c r="AM22" i="1"/>
  <c r="AL22" i="1"/>
  <c r="AK22" i="1"/>
  <c r="AM21" i="1"/>
  <c r="AL21" i="1"/>
  <c r="AK21" i="1"/>
  <c r="AM20" i="1"/>
  <c r="AL20" i="1"/>
  <c r="AK20" i="1"/>
  <c r="AM19" i="1"/>
  <c r="AL19" i="1"/>
  <c r="AK19" i="1"/>
  <c r="AM18" i="1"/>
  <c r="AL18" i="1"/>
  <c r="AK18" i="1"/>
  <c r="AM17" i="1"/>
  <c r="AL17" i="1"/>
  <c r="AK17" i="1"/>
  <c r="AM16" i="1"/>
  <c r="AL16" i="1"/>
  <c r="AK16" i="1"/>
  <c r="AM15" i="1"/>
  <c r="AL15" i="1"/>
  <c r="AK15" i="1"/>
  <c r="AM14" i="1"/>
  <c r="AL14" i="1"/>
  <c r="AK14" i="1"/>
  <c r="AM13" i="1"/>
  <c r="AL13" i="1"/>
  <c r="AK13" i="1"/>
  <c r="AM12" i="1"/>
  <c r="AL12" i="1"/>
  <c r="AK12" i="1"/>
  <c r="AM11" i="1"/>
  <c r="AL11" i="1"/>
  <c r="AK11" i="1"/>
  <c r="AM10" i="1"/>
  <c r="AL10" i="1"/>
  <c r="AK10" i="1"/>
  <c r="AM9" i="1"/>
  <c r="AL9" i="1"/>
  <c r="AK9" i="1"/>
  <c r="AM8" i="1"/>
  <c r="AL8" i="1"/>
  <c r="AK8" i="1"/>
  <c r="AM7" i="1"/>
  <c r="AL7" i="1"/>
  <c r="AK7" i="1"/>
  <c r="AM6" i="1"/>
  <c r="AL6" i="1"/>
  <c r="AK6" i="1"/>
  <c r="AM5" i="1"/>
  <c r="AL5" i="1"/>
  <c r="AK5" i="1"/>
  <c r="AM4" i="1"/>
  <c r="AL4" i="1"/>
  <c r="AK4" i="1"/>
  <c r="AM3" i="1"/>
  <c r="AL3" i="1"/>
  <c r="AK3" i="1"/>
  <c r="AM2" i="1"/>
  <c r="AL2" i="1"/>
  <c r="AK2" i="1"/>
  <c r="AK124" i="1" l="1"/>
  <c r="AM124" i="1"/>
  <c r="AL124" i="1"/>
  <c r="Q135" i="10"/>
  <c r="Q134" i="10" s="1"/>
  <c r="W49" i="2" s="1"/>
  <c r="P135" i="10"/>
  <c r="P134" i="10" s="1"/>
  <c r="V49" i="2" s="1"/>
  <c r="O135" i="10"/>
  <c r="O134" i="10" s="1"/>
  <c r="U49" i="2" s="1"/>
  <c r="N135" i="10"/>
  <c r="N134" i="10" s="1"/>
  <c r="T49" i="2" s="1"/>
  <c r="M135" i="10"/>
  <c r="M134" i="10" s="1"/>
  <c r="P49" i="2" s="1"/>
  <c r="O3" i="11" s="1"/>
  <c r="L135" i="10"/>
  <c r="K135" i="10"/>
  <c r="J135" i="10"/>
  <c r="J134" i="10" s="1"/>
  <c r="O49" i="2" s="1"/>
  <c r="J3" i="11" s="1"/>
  <c r="H135" i="10"/>
  <c r="H134" i="10" s="1"/>
  <c r="K49" i="2" s="1"/>
  <c r="G135" i="10"/>
  <c r="G134" i="10" s="1"/>
  <c r="J49" i="2" s="1"/>
  <c r="F135" i="10"/>
  <c r="F134" i="10" s="1"/>
  <c r="I49" i="2" s="1"/>
  <c r="E135" i="10"/>
  <c r="E134" i="10" s="1"/>
  <c r="H49" i="2" s="1"/>
  <c r="D135" i="10"/>
  <c r="D134" i="10" s="1"/>
  <c r="G49" i="2" s="1"/>
  <c r="C134" i="10"/>
  <c r="C136" i="10"/>
  <c r="E11" i="14"/>
  <c r="R135" i="10" l="1"/>
  <c r="R134" i="10" s="1"/>
  <c r="S135" i="10"/>
  <c r="S134" i="10" s="1"/>
  <c r="K134" i="10"/>
  <c r="M49" i="2" s="1"/>
  <c r="G3" i="11" s="1"/>
  <c r="I135" i="10"/>
  <c r="I134" i="10" s="1"/>
  <c r="T135" i="10"/>
  <c r="T134" i="10" s="1"/>
  <c r="L134" i="10"/>
  <c r="N49" i="2" s="1"/>
  <c r="I3" i="11" s="1"/>
  <c r="L49" i="2"/>
  <c r="Z49" i="2"/>
  <c r="Q127" i="10"/>
  <c r="Q126" i="10" s="1"/>
  <c r="W81" i="2" s="1"/>
  <c r="P127" i="10"/>
  <c r="P126" i="10" s="1"/>
  <c r="V81" i="2" s="1"/>
  <c r="O127" i="10"/>
  <c r="O126" i="10" s="1"/>
  <c r="U81" i="2" s="1"/>
  <c r="N127" i="10"/>
  <c r="N126" i="10" s="1"/>
  <c r="T81" i="2" s="1"/>
  <c r="M127" i="10"/>
  <c r="M126" i="10" s="1"/>
  <c r="P81" i="2" s="1"/>
  <c r="L127" i="10"/>
  <c r="L126" i="10" s="1"/>
  <c r="N81" i="2" s="1"/>
  <c r="K127" i="10"/>
  <c r="K126" i="10" s="1"/>
  <c r="M81" i="2" s="1"/>
  <c r="J127" i="10"/>
  <c r="J126" i="10" s="1"/>
  <c r="O81" i="2" s="1"/>
  <c r="H127" i="10"/>
  <c r="H126" i="10" s="1"/>
  <c r="K81" i="2" s="1"/>
  <c r="G127" i="10"/>
  <c r="G126" i="10" s="1"/>
  <c r="J81" i="2" s="1"/>
  <c r="F127" i="10"/>
  <c r="F126" i="10" s="1"/>
  <c r="I81" i="2" s="1"/>
  <c r="E127" i="10"/>
  <c r="E126" i="10" s="1"/>
  <c r="H81" i="2" s="1"/>
  <c r="D127" i="10"/>
  <c r="C126" i="10"/>
  <c r="Q122" i="10"/>
  <c r="Q121" i="10" s="1"/>
  <c r="W80" i="2" s="1"/>
  <c r="P122" i="10"/>
  <c r="P121" i="10" s="1"/>
  <c r="V80" i="2" s="1"/>
  <c r="O122" i="10"/>
  <c r="O121" i="10" s="1"/>
  <c r="U80" i="2" s="1"/>
  <c r="N122" i="10"/>
  <c r="N121" i="10" s="1"/>
  <c r="T80" i="2" s="1"/>
  <c r="M122" i="10"/>
  <c r="M121" i="10" s="1"/>
  <c r="P80" i="2" s="1"/>
  <c r="L122" i="10"/>
  <c r="K122" i="10"/>
  <c r="K121" i="10" s="1"/>
  <c r="M80" i="2" s="1"/>
  <c r="J122" i="10"/>
  <c r="J121" i="10" s="1"/>
  <c r="O80" i="2" s="1"/>
  <c r="H122" i="10"/>
  <c r="H121" i="10" s="1"/>
  <c r="K80" i="2" s="1"/>
  <c r="G122" i="10"/>
  <c r="G121" i="10" s="1"/>
  <c r="J80" i="2" s="1"/>
  <c r="F122" i="10"/>
  <c r="F121" i="10" s="1"/>
  <c r="I80" i="2" s="1"/>
  <c r="E122" i="10"/>
  <c r="D122" i="10"/>
  <c r="D121" i="10" s="1"/>
  <c r="G80" i="2" s="1"/>
  <c r="C121" i="10"/>
  <c r="C83" i="10"/>
  <c r="Q189" i="10"/>
  <c r="P189" i="10"/>
  <c r="O189" i="10"/>
  <c r="N189" i="10"/>
  <c r="M189" i="10"/>
  <c r="L189" i="10"/>
  <c r="K189" i="10"/>
  <c r="J189" i="10"/>
  <c r="H189" i="10"/>
  <c r="G189" i="10"/>
  <c r="F189" i="10"/>
  <c r="E189" i="10"/>
  <c r="D189" i="10"/>
  <c r="Q188" i="10"/>
  <c r="P188" i="10"/>
  <c r="O188" i="10"/>
  <c r="N188" i="10"/>
  <c r="M188" i="10"/>
  <c r="L188" i="10"/>
  <c r="K188" i="10"/>
  <c r="J188" i="10"/>
  <c r="H188" i="10"/>
  <c r="G188" i="10"/>
  <c r="F188" i="10"/>
  <c r="E188" i="10"/>
  <c r="D188" i="10"/>
  <c r="C185" i="10"/>
  <c r="Q186" i="10"/>
  <c r="P186" i="10"/>
  <c r="O186" i="10"/>
  <c r="N186" i="10"/>
  <c r="M186" i="10"/>
  <c r="L186" i="10"/>
  <c r="K186" i="10"/>
  <c r="J186" i="10"/>
  <c r="H186" i="10"/>
  <c r="G186" i="10"/>
  <c r="F186" i="10"/>
  <c r="E186" i="10"/>
  <c r="D186" i="10"/>
  <c r="Q143" i="10"/>
  <c r="P143" i="10"/>
  <c r="O143" i="10"/>
  <c r="N143" i="10"/>
  <c r="M143" i="10"/>
  <c r="L143" i="10"/>
  <c r="K143" i="10"/>
  <c r="J143" i="10"/>
  <c r="H143" i="10"/>
  <c r="G143" i="10"/>
  <c r="F143" i="10"/>
  <c r="E143" i="10"/>
  <c r="D143" i="10"/>
  <c r="Q196" i="10"/>
  <c r="P196" i="10"/>
  <c r="O196" i="10"/>
  <c r="N196" i="10"/>
  <c r="M196" i="10"/>
  <c r="L196" i="10"/>
  <c r="K196" i="10"/>
  <c r="J196" i="10"/>
  <c r="H196" i="10"/>
  <c r="G196" i="10"/>
  <c r="F196" i="10"/>
  <c r="E196" i="10"/>
  <c r="D196" i="10"/>
  <c r="X49" i="2" l="1"/>
  <c r="Y49" i="2"/>
  <c r="H3" i="11"/>
  <c r="S49" i="2"/>
  <c r="F3" i="11"/>
  <c r="R49" i="2"/>
  <c r="Q49" i="2"/>
  <c r="X81" i="2"/>
  <c r="S127" i="10"/>
  <c r="S126" i="10" s="1"/>
  <c r="Z81" i="2"/>
  <c r="T122" i="10"/>
  <c r="T121" i="10" s="1"/>
  <c r="I122" i="10"/>
  <c r="I121" i="10" s="1"/>
  <c r="S122" i="10"/>
  <c r="S121" i="10" s="1"/>
  <c r="Y81" i="2"/>
  <c r="Z80" i="2"/>
  <c r="T127" i="10"/>
  <c r="T126" i="10" s="1"/>
  <c r="I127" i="10"/>
  <c r="I126" i="10" s="1"/>
  <c r="D126" i="10"/>
  <c r="G81" i="2" s="1"/>
  <c r="L81" i="2" s="1"/>
  <c r="Q81" i="2" s="1"/>
  <c r="R127" i="10"/>
  <c r="R126" i="10" s="1"/>
  <c r="L121" i="10"/>
  <c r="N80" i="2" s="1"/>
  <c r="Y80" i="2" s="1"/>
  <c r="R122" i="10"/>
  <c r="R121" i="10" s="1"/>
  <c r="E121" i="10"/>
  <c r="H80" i="2" s="1"/>
  <c r="L80" i="2" s="1"/>
  <c r="S188" i="10"/>
  <c r="T189" i="10"/>
  <c r="T186" i="10"/>
  <c r="I189" i="10"/>
  <c r="R189" i="10"/>
  <c r="S189" i="10"/>
  <c r="T188" i="10"/>
  <c r="R188" i="10"/>
  <c r="I188" i="10"/>
  <c r="T143" i="10"/>
  <c r="I186" i="10"/>
  <c r="R186" i="10"/>
  <c r="S186" i="10"/>
  <c r="T196" i="10"/>
  <c r="S196" i="10"/>
  <c r="R143" i="10"/>
  <c r="S143" i="10"/>
  <c r="I196" i="10"/>
  <c r="I143" i="10"/>
  <c r="R196" i="10"/>
  <c r="K3" i="11" l="1"/>
  <c r="N3" i="11" s="1"/>
  <c r="M3" i="11"/>
  <c r="L3" i="11"/>
  <c r="Q80" i="2"/>
  <c r="S80" i="2"/>
  <c r="R81" i="2"/>
  <c r="S81" i="2"/>
  <c r="X80" i="2"/>
  <c r="R80" i="2"/>
  <c r="Q170" i="10" l="1"/>
  <c r="P170" i="10"/>
  <c r="O170" i="10"/>
  <c r="N170" i="10"/>
  <c r="M170" i="10"/>
  <c r="L170" i="10"/>
  <c r="K170" i="10"/>
  <c r="J170" i="10"/>
  <c r="H170" i="10"/>
  <c r="G170" i="10"/>
  <c r="F170" i="10"/>
  <c r="E170" i="10"/>
  <c r="D170" i="10"/>
  <c r="Q171" i="10"/>
  <c r="P171" i="10"/>
  <c r="O171" i="10"/>
  <c r="N171" i="10"/>
  <c r="M171" i="10"/>
  <c r="L171" i="10"/>
  <c r="K171" i="10"/>
  <c r="J171" i="10"/>
  <c r="H171" i="10"/>
  <c r="G171" i="10"/>
  <c r="F171" i="10"/>
  <c r="E171" i="10"/>
  <c r="D171" i="10"/>
  <c r="T171" i="10" l="1"/>
  <c r="T170" i="10"/>
  <c r="I170" i="10"/>
  <c r="S170" i="10"/>
  <c r="R170" i="10"/>
  <c r="S171" i="10"/>
  <c r="I171" i="10"/>
  <c r="R171" i="10"/>
  <c r="Q120" i="10" l="1"/>
  <c r="P120" i="10"/>
  <c r="O120" i="10"/>
  <c r="N120" i="10"/>
  <c r="M120" i="10"/>
  <c r="L120" i="10"/>
  <c r="K120" i="10"/>
  <c r="J120" i="10"/>
  <c r="H120" i="10"/>
  <c r="G120" i="10"/>
  <c r="F120" i="10"/>
  <c r="E120" i="10"/>
  <c r="D120" i="10"/>
  <c r="H177" i="10"/>
  <c r="K62" i="2" s="1"/>
  <c r="G177" i="10"/>
  <c r="J62" i="2" s="1"/>
  <c r="H175" i="10"/>
  <c r="K61" i="2" s="1"/>
  <c r="G175" i="10"/>
  <c r="J61" i="2" s="1"/>
  <c r="C177" i="10"/>
  <c r="C175" i="10"/>
  <c r="Q178" i="10"/>
  <c r="Q177" i="10" s="1"/>
  <c r="W62" i="2" s="1"/>
  <c r="P178" i="10"/>
  <c r="P177" i="10" s="1"/>
  <c r="V62" i="2" s="1"/>
  <c r="O178" i="10"/>
  <c r="O177" i="10" s="1"/>
  <c r="U62" i="2" s="1"/>
  <c r="N178" i="10"/>
  <c r="N177" i="10" s="1"/>
  <c r="T62" i="2" s="1"/>
  <c r="M178" i="10"/>
  <c r="M177" i="10" s="1"/>
  <c r="P62" i="2" s="1"/>
  <c r="O12" i="11" s="1"/>
  <c r="L178" i="10"/>
  <c r="L177" i="10" s="1"/>
  <c r="N62" i="2" s="1"/>
  <c r="I12" i="11" s="1"/>
  <c r="K178" i="10"/>
  <c r="J178" i="10"/>
  <c r="F178" i="10"/>
  <c r="F177" i="10" s="1"/>
  <c r="I62" i="2" s="1"/>
  <c r="E178" i="10"/>
  <c r="E177" i="10" s="1"/>
  <c r="H62" i="2" s="1"/>
  <c r="D178" i="10"/>
  <c r="D177" i="10" s="1"/>
  <c r="G62" i="2" s="1"/>
  <c r="Q176" i="10"/>
  <c r="Q175" i="10" s="1"/>
  <c r="W61" i="2" s="1"/>
  <c r="P176" i="10"/>
  <c r="P175" i="10" s="1"/>
  <c r="V61" i="2" s="1"/>
  <c r="O176" i="10"/>
  <c r="O175" i="10" s="1"/>
  <c r="U61" i="2" s="1"/>
  <c r="N176" i="10"/>
  <c r="N175" i="10" s="1"/>
  <c r="T61" i="2" s="1"/>
  <c r="M176" i="10"/>
  <c r="M175" i="10" s="1"/>
  <c r="P61" i="2" s="1"/>
  <c r="O11" i="11" s="1"/>
  <c r="L176" i="10"/>
  <c r="L175" i="10" s="1"/>
  <c r="N61" i="2" s="1"/>
  <c r="I11" i="11" s="1"/>
  <c r="K176" i="10"/>
  <c r="J176" i="10"/>
  <c r="F176" i="10"/>
  <c r="F175" i="10" s="1"/>
  <c r="I61" i="2" s="1"/>
  <c r="E176" i="10"/>
  <c r="E175" i="10" s="1"/>
  <c r="H61" i="2" s="1"/>
  <c r="D176" i="10"/>
  <c r="D175" i="10" s="1"/>
  <c r="G61" i="2" s="1"/>
  <c r="C77" i="10"/>
  <c r="Q79" i="10"/>
  <c r="P79" i="10"/>
  <c r="O79" i="10"/>
  <c r="N79" i="10"/>
  <c r="M79" i="10"/>
  <c r="L79" i="10"/>
  <c r="K79" i="10"/>
  <c r="J79" i="10"/>
  <c r="H79" i="10"/>
  <c r="G79" i="10"/>
  <c r="F79" i="10"/>
  <c r="E79" i="10"/>
  <c r="D79" i="10"/>
  <c r="Q86" i="10"/>
  <c r="Q85" i="10" s="1"/>
  <c r="W79" i="2" s="1"/>
  <c r="P86" i="10"/>
  <c r="P85" i="10" s="1"/>
  <c r="V79" i="2" s="1"/>
  <c r="O86" i="10"/>
  <c r="O85" i="10" s="1"/>
  <c r="U79" i="2" s="1"/>
  <c r="N86" i="10"/>
  <c r="N85" i="10" s="1"/>
  <c r="T79" i="2" s="1"/>
  <c r="M86" i="10"/>
  <c r="M85" i="10" s="1"/>
  <c r="P79" i="2" s="1"/>
  <c r="L86" i="10"/>
  <c r="L85" i="10" s="1"/>
  <c r="N79" i="2" s="1"/>
  <c r="K86" i="10"/>
  <c r="K85" i="10" s="1"/>
  <c r="M79" i="2" s="1"/>
  <c r="J86" i="10"/>
  <c r="J85" i="10" s="1"/>
  <c r="O79" i="2" s="1"/>
  <c r="H86" i="10"/>
  <c r="H85" i="10" s="1"/>
  <c r="K79" i="2" s="1"/>
  <c r="G86" i="10"/>
  <c r="G85" i="10" s="1"/>
  <c r="J79" i="2" s="1"/>
  <c r="F86" i="10"/>
  <c r="F85" i="10" s="1"/>
  <c r="I79" i="2" s="1"/>
  <c r="E86" i="10"/>
  <c r="E85" i="10" s="1"/>
  <c r="H79" i="2" s="1"/>
  <c r="D86" i="10"/>
  <c r="D85" i="10" s="1"/>
  <c r="G79" i="2" s="1"/>
  <c r="C85" i="10"/>
  <c r="C98" i="10"/>
  <c r="C93" i="10"/>
  <c r="Q94" i="10"/>
  <c r="Q93" i="10" s="1"/>
  <c r="W78" i="2" s="1"/>
  <c r="P94" i="10"/>
  <c r="P93" i="10" s="1"/>
  <c r="V78" i="2" s="1"/>
  <c r="O94" i="10"/>
  <c r="O93" i="10" s="1"/>
  <c r="U78" i="2" s="1"/>
  <c r="N94" i="10"/>
  <c r="N93" i="10" s="1"/>
  <c r="T78" i="2" s="1"/>
  <c r="M94" i="10"/>
  <c r="M93" i="10" s="1"/>
  <c r="P78" i="2" s="1"/>
  <c r="L94" i="10"/>
  <c r="L93" i="10" s="1"/>
  <c r="N78" i="2" s="1"/>
  <c r="K94" i="10"/>
  <c r="K93" i="10" s="1"/>
  <c r="M78" i="2" s="1"/>
  <c r="J94" i="10"/>
  <c r="H94" i="10"/>
  <c r="H93" i="10" s="1"/>
  <c r="K78" i="2" s="1"/>
  <c r="G94" i="10"/>
  <c r="G93" i="10" s="1"/>
  <c r="J78" i="2" s="1"/>
  <c r="F94" i="10"/>
  <c r="F93" i="10" s="1"/>
  <c r="I78" i="2" s="1"/>
  <c r="E94" i="10"/>
  <c r="D94" i="10"/>
  <c r="D93" i="10" s="1"/>
  <c r="G78" i="2" s="1"/>
  <c r="Q99" i="10"/>
  <c r="Q98" i="10" s="1"/>
  <c r="W77" i="2" s="1"/>
  <c r="P99" i="10"/>
  <c r="P98" i="10" s="1"/>
  <c r="V77" i="2" s="1"/>
  <c r="O99" i="10"/>
  <c r="O98" i="10" s="1"/>
  <c r="U77" i="2" s="1"/>
  <c r="N99" i="10"/>
  <c r="N98" i="10" s="1"/>
  <c r="T77" i="2" s="1"/>
  <c r="M99" i="10"/>
  <c r="M98" i="10" s="1"/>
  <c r="P77" i="2" s="1"/>
  <c r="L99" i="10"/>
  <c r="L98" i="10" s="1"/>
  <c r="N77" i="2" s="1"/>
  <c r="K99" i="10"/>
  <c r="K98" i="10" s="1"/>
  <c r="M77" i="2" s="1"/>
  <c r="J99" i="10"/>
  <c r="J98" i="10" s="1"/>
  <c r="O77" i="2" s="1"/>
  <c r="H99" i="10"/>
  <c r="H98" i="10" s="1"/>
  <c r="K77" i="2" s="1"/>
  <c r="G99" i="10"/>
  <c r="G98" i="10" s="1"/>
  <c r="J77" i="2" s="1"/>
  <c r="F99" i="10"/>
  <c r="F98" i="10" s="1"/>
  <c r="I77" i="2" s="1"/>
  <c r="E99" i="10"/>
  <c r="E98" i="10" s="1"/>
  <c r="H77" i="2" s="1"/>
  <c r="D99" i="10"/>
  <c r="D98" i="10" s="1"/>
  <c r="G77" i="2" s="1"/>
  <c r="E58" i="14"/>
  <c r="C82" i="10" l="1"/>
  <c r="S120" i="10"/>
  <c r="R120" i="10"/>
  <c r="I176" i="10"/>
  <c r="I175" i="10" s="1"/>
  <c r="I178" i="10"/>
  <c r="I177" i="10" s="1"/>
  <c r="I120" i="10"/>
  <c r="T120" i="10"/>
  <c r="L62" i="2"/>
  <c r="F12" i="11" s="1"/>
  <c r="R176" i="10"/>
  <c r="R175" i="10" s="1"/>
  <c r="L61" i="2"/>
  <c r="S61" i="2" s="1"/>
  <c r="T176" i="10"/>
  <c r="T175" i="10" s="1"/>
  <c r="T178" i="10"/>
  <c r="T177" i="10" s="1"/>
  <c r="R178" i="10"/>
  <c r="R177" i="10" s="1"/>
  <c r="J175" i="10"/>
  <c r="O61" i="2" s="1"/>
  <c r="J177" i="10"/>
  <c r="O62" i="2" s="1"/>
  <c r="S176" i="10"/>
  <c r="S175" i="10" s="1"/>
  <c r="S178" i="10"/>
  <c r="S177" i="10" s="1"/>
  <c r="K175" i="10"/>
  <c r="M61" i="2" s="1"/>
  <c r="K177" i="10"/>
  <c r="M62" i="2" s="1"/>
  <c r="R79" i="10"/>
  <c r="S79" i="10"/>
  <c r="I79" i="10"/>
  <c r="T79" i="10"/>
  <c r="R86" i="10"/>
  <c r="R85" i="10" s="1"/>
  <c r="T86" i="10"/>
  <c r="T85" i="10" s="1"/>
  <c r="S86" i="10"/>
  <c r="S85" i="10" s="1"/>
  <c r="I86" i="10"/>
  <c r="I85" i="10" s="1"/>
  <c r="T94" i="10"/>
  <c r="T93" i="10" s="1"/>
  <c r="T99" i="10"/>
  <c r="T98" i="10" s="1"/>
  <c r="I94" i="10"/>
  <c r="I93" i="10" s="1"/>
  <c r="E93" i="10"/>
  <c r="H78" i="2" s="1"/>
  <c r="L78" i="2" s="1"/>
  <c r="Q78" i="2" s="1"/>
  <c r="J93" i="10"/>
  <c r="O78" i="2" s="1"/>
  <c r="Y78" i="2" s="1"/>
  <c r="R94" i="10"/>
  <c r="R93" i="10" s="1"/>
  <c r="S94" i="10"/>
  <c r="S93" i="10" s="1"/>
  <c r="I99" i="10"/>
  <c r="I98" i="10" s="1"/>
  <c r="Y77" i="2"/>
  <c r="Z77" i="2"/>
  <c r="R99" i="10"/>
  <c r="R98" i="10" s="1"/>
  <c r="S99" i="10"/>
  <c r="S98" i="10" s="1"/>
  <c r="X79" i="2"/>
  <c r="L79" i="2"/>
  <c r="Q79" i="2" s="1"/>
  <c r="L77" i="2"/>
  <c r="Q77" i="2" s="1"/>
  <c r="X77" i="2"/>
  <c r="Z79" i="2"/>
  <c r="X78" i="2"/>
  <c r="Y79" i="2"/>
  <c r="M213" i="10"/>
  <c r="L213" i="10"/>
  <c r="M211" i="10"/>
  <c r="L211" i="10"/>
  <c r="M209" i="10"/>
  <c r="L209" i="10"/>
  <c r="M207" i="10"/>
  <c r="L207" i="10"/>
  <c r="M205" i="10"/>
  <c r="L205" i="10"/>
  <c r="M204" i="10"/>
  <c r="L204" i="10"/>
  <c r="M202" i="10"/>
  <c r="L202" i="10"/>
  <c r="M201" i="10"/>
  <c r="L201" i="10"/>
  <c r="M200" i="10"/>
  <c r="L200" i="10"/>
  <c r="M199" i="10"/>
  <c r="L199" i="10"/>
  <c r="M198" i="10"/>
  <c r="L198" i="10"/>
  <c r="M197" i="10"/>
  <c r="L197" i="10"/>
  <c r="M194" i="10"/>
  <c r="L194" i="10"/>
  <c r="M192" i="10"/>
  <c r="L192" i="10"/>
  <c r="M191" i="10"/>
  <c r="L191" i="10"/>
  <c r="M187" i="10"/>
  <c r="M185" i="10" s="1"/>
  <c r="L187" i="10"/>
  <c r="L185" i="10" s="1"/>
  <c r="M184" i="10"/>
  <c r="L184" i="10"/>
  <c r="M183" i="10"/>
  <c r="L183" i="10"/>
  <c r="M182" i="10"/>
  <c r="L182" i="10"/>
  <c r="M181" i="10"/>
  <c r="L181" i="10"/>
  <c r="M180" i="10"/>
  <c r="L180" i="10"/>
  <c r="M174" i="10"/>
  <c r="L174" i="10"/>
  <c r="M173" i="10"/>
  <c r="L173" i="10"/>
  <c r="M172" i="10"/>
  <c r="L172" i="10"/>
  <c r="M168" i="10"/>
  <c r="L168" i="10"/>
  <c r="M166" i="10"/>
  <c r="L166" i="10"/>
  <c r="M165" i="10"/>
  <c r="L165" i="10"/>
  <c r="M164" i="10"/>
  <c r="L164" i="10"/>
  <c r="M162" i="10"/>
  <c r="L162" i="10"/>
  <c r="M161" i="10"/>
  <c r="L161" i="10"/>
  <c r="M160" i="10"/>
  <c r="L160" i="10"/>
  <c r="M159" i="10"/>
  <c r="L159" i="10"/>
  <c r="M157" i="10"/>
  <c r="L157" i="10"/>
  <c r="M156" i="10"/>
  <c r="L156" i="10"/>
  <c r="M155" i="10"/>
  <c r="L155" i="10"/>
  <c r="M153" i="10"/>
  <c r="L153" i="10"/>
  <c r="M152" i="10"/>
  <c r="L152" i="10"/>
  <c r="M151" i="10"/>
  <c r="L151" i="10"/>
  <c r="M150" i="10"/>
  <c r="L150" i="10"/>
  <c r="M149" i="10"/>
  <c r="L149" i="10"/>
  <c r="M147" i="10"/>
  <c r="L147" i="10"/>
  <c r="M146" i="10"/>
  <c r="L146" i="10"/>
  <c r="M145" i="10"/>
  <c r="L145" i="10"/>
  <c r="M142" i="10"/>
  <c r="L142" i="10"/>
  <c r="M141" i="10"/>
  <c r="L141" i="10"/>
  <c r="M140" i="10"/>
  <c r="L140" i="10"/>
  <c r="M139" i="10"/>
  <c r="L139" i="10"/>
  <c r="M138" i="10"/>
  <c r="L138" i="10"/>
  <c r="M137" i="10"/>
  <c r="L137" i="10"/>
  <c r="M133" i="10"/>
  <c r="L133" i="10"/>
  <c r="M132" i="10"/>
  <c r="L132" i="10"/>
  <c r="M131" i="10"/>
  <c r="L131" i="10"/>
  <c r="M125" i="10"/>
  <c r="L125" i="10"/>
  <c r="M115" i="10"/>
  <c r="L115" i="10"/>
  <c r="M113" i="10"/>
  <c r="L113" i="10"/>
  <c r="M110" i="10"/>
  <c r="L110" i="10"/>
  <c r="M108" i="10"/>
  <c r="L108" i="10"/>
  <c r="M106" i="10"/>
  <c r="L106" i="10"/>
  <c r="M97" i="10"/>
  <c r="L97" i="10"/>
  <c r="M92" i="10"/>
  <c r="L92" i="10"/>
  <c r="M84" i="10"/>
  <c r="M83" i="10" s="1"/>
  <c r="L84" i="10"/>
  <c r="L83" i="10" s="1"/>
  <c r="M78" i="10"/>
  <c r="M77" i="10" s="1"/>
  <c r="L78" i="10"/>
  <c r="L77" i="10" s="1"/>
  <c r="M76" i="10"/>
  <c r="L76" i="10"/>
  <c r="M75" i="10"/>
  <c r="L75" i="10"/>
  <c r="M66" i="10"/>
  <c r="L66" i="10"/>
  <c r="M65" i="10"/>
  <c r="L65" i="10"/>
  <c r="M64" i="10"/>
  <c r="L64" i="10"/>
  <c r="M61" i="10"/>
  <c r="L61" i="10"/>
  <c r="M58" i="10"/>
  <c r="L58" i="10"/>
  <c r="M57" i="10"/>
  <c r="L57" i="10"/>
  <c r="M54" i="10"/>
  <c r="L54" i="10"/>
  <c r="M53" i="10"/>
  <c r="L53" i="10"/>
  <c r="M52" i="10"/>
  <c r="L52" i="10"/>
  <c r="M48" i="10"/>
  <c r="L48" i="10"/>
  <c r="M47" i="10"/>
  <c r="L47" i="10"/>
  <c r="M46" i="10"/>
  <c r="L46" i="10"/>
  <c r="M45" i="10"/>
  <c r="L45" i="10"/>
  <c r="M44" i="10"/>
  <c r="L44" i="10"/>
  <c r="M43" i="10"/>
  <c r="L43" i="10"/>
  <c r="M42" i="10"/>
  <c r="L42" i="10"/>
  <c r="M41" i="10"/>
  <c r="L41" i="10"/>
  <c r="M40" i="10"/>
  <c r="L40" i="10"/>
  <c r="M38" i="10"/>
  <c r="L38" i="10"/>
  <c r="M37" i="10"/>
  <c r="L37" i="10"/>
  <c r="M35" i="10"/>
  <c r="L35" i="10"/>
  <c r="M32" i="10"/>
  <c r="L32" i="10"/>
  <c r="M28" i="10"/>
  <c r="L28" i="10"/>
  <c r="M27" i="10"/>
  <c r="L27" i="10"/>
  <c r="M26" i="10"/>
  <c r="L26" i="10"/>
  <c r="M23" i="10"/>
  <c r="L23" i="10"/>
  <c r="M22" i="10"/>
  <c r="L22" i="10"/>
  <c r="M21" i="10"/>
  <c r="L21" i="10"/>
  <c r="M20" i="10"/>
  <c r="L20" i="10"/>
  <c r="M19" i="10"/>
  <c r="L19" i="10"/>
  <c r="M18" i="10"/>
  <c r="L18" i="10"/>
  <c r="M17" i="10"/>
  <c r="L17" i="10"/>
  <c r="M15" i="10"/>
  <c r="L15" i="10"/>
  <c r="M14" i="10"/>
  <c r="L14" i="10"/>
  <c r="M12" i="10"/>
  <c r="L12" i="10"/>
  <c r="M11" i="10"/>
  <c r="L11" i="10"/>
  <c r="M10" i="10"/>
  <c r="L10" i="10"/>
  <c r="M9" i="10"/>
  <c r="L9" i="10"/>
  <c r="M8" i="10"/>
  <c r="L8" i="10"/>
  <c r="K8" i="10"/>
  <c r="L136" i="10" l="1"/>
  <c r="M136" i="10"/>
  <c r="L195" i="10"/>
  <c r="M195" i="10"/>
  <c r="L169" i="10"/>
  <c r="M169" i="10"/>
  <c r="Q62" i="2"/>
  <c r="X61" i="2"/>
  <c r="G11" i="11"/>
  <c r="H11" i="11" s="1"/>
  <c r="Z62" i="2"/>
  <c r="J12" i="11"/>
  <c r="M12" i="11" s="1"/>
  <c r="R62" i="2"/>
  <c r="Z61" i="2"/>
  <c r="J11" i="11"/>
  <c r="L12" i="11"/>
  <c r="S62" i="2"/>
  <c r="X62" i="2"/>
  <c r="G12" i="11"/>
  <c r="Q61" i="2"/>
  <c r="F11" i="11"/>
  <c r="R61" i="2"/>
  <c r="Y62" i="2"/>
  <c r="Y61" i="2"/>
  <c r="Z78" i="2"/>
  <c r="S79" i="2"/>
  <c r="R77" i="2"/>
  <c r="R79" i="2"/>
  <c r="R78" i="2"/>
  <c r="S77" i="2"/>
  <c r="S78" i="2"/>
  <c r="T119" i="10"/>
  <c r="T118" i="10" s="1"/>
  <c r="S119" i="10"/>
  <c r="S118" i="10" s="1"/>
  <c r="R119" i="10"/>
  <c r="R118" i="10" s="1"/>
  <c r="Q119" i="10"/>
  <c r="Q118" i="10" s="1"/>
  <c r="P119" i="10"/>
  <c r="P118" i="10" s="1"/>
  <c r="O119" i="10"/>
  <c r="O118" i="10" s="1"/>
  <c r="N119" i="10"/>
  <c r="N118" i="10" s="1"/>
  <c r="M119" i="10"/>
  <c r="M118" i="10" s="1"/>
  <c r="L119" i="10"/>
  <c r="L118" i="10" s="1"/>
  <c r="K119" i="10"/>
  <c r="K118" i="10" s="1"/>
  <c r="J119" i="10"/>
  <c r="J118" i="10" s="1"/>
  <c r="I119" i="10"/>
  <c r="I118" i="10" s="1"/>
  <c r="H119" i="10"/>
  <c r="H118" i="10" s="1"/>
  <c r="G119" i="10"/>
  <c r="G118" i="10" s="1"/>
  <c r="F119" i="10"/>
  <c r="F118" i="10" s="1"/>
  <c r="E119" i="10"/>
  <c r="E118" i="10" s="1"/>
  <c r="D119" i="10"/>
  <c r="D118" i="10" s="1"/>
  <c r="C124" i="10"/>
  <c r="C123" i="10" s="1"/>
  <c r="C119" i="10"/>
  <c r="C118" i="10" s="1"/>
  <c r="C91" i="10"/>
  <c r="C81" i="10"/>
  <c r="C80" i="10" s="1"/>
  <c r="C167" i="10"/>
  <c r="Q168" i="10"/>
  <c r="Q167" i="10" s="1"/>
  <c r="W59" i="2" s="1"/>
  <c r="P168" i="10"/>
  <c r="P167" i="10" s="1"/>
  <c r="V59" i="2" s="1"/>
  <c r="O168" i="10"/>
  <c r="O167" i="10" s="1"/>
  <c r="U59" i="2" s="1"/>
  <c r="N168" i="10"/>
  <c r="N167" i="10" s="1"/>
  <c r="T59" i="2" s="1"/>
  <c r="M167" i="10"/>
  <c r="P59" i="2" s="1"/>
  <c r="O9" i="11" s="1"/>
  <c r="L167" i="10"/>
  <c r="N59" i="2" s="1"/>
  <c r="I9" i="11" s="1"/>
  <c r="K168" i="10"/>
  <c r="K167" i="10" s="1"/>
  <c r="M59" i="2" s="1"/>
  <c r="G9" i="11" s="1"/>
  <c r="J168" i="10"/>
  <c r="J167" i="10" s="1"/>
  <c r="O59" i="2" s="1"/>
  <c r="J9" i="11" s="1"/>
  <c r="H168" i="10"/>
  <c r="H167" i="10" s="1"/>
  <c r="K59" i="2" s="1"/>
  <c r="G168" i="10"/>
  <c r="G167" i="10" s="1"/>
  <c r="J59" i="2" s="1"/>
  <c r="F168" i="10"/>
  <c r="F167" i="10" s="1"/>
  <c r="I59" i="2" s="1"/>
  <c r="E168" i="10"/>
  <c r="E167" i="10" s="1"/>
  <c r="H59" i="2" s="1"/>
  <c r="D168" i="10"/>
  <c r="D167" i="10" s="1"/>
  <c r="G59" i="2" s="1"/>
  <c r="G213" i="10"/>
  <c r="C212" i="10"/>
  <c r="C210" i="10"/>
  <c r="H9" i="11" l="1"/>
  <c r="K12" i="11"/>
  <c r="H12" i="11"/>
  <c r="M11" i="11"/>
  <c r="K11" i="11"/>
  <c r="L11" i="11"/>
  <c r="C90" i="10"/>
  <c r="C89" i="10" s="1"/>
  <c r="G74" i="2"/>
  <c r="K74" i="2"/>
  <c r="M74" i="2"/>
  <c r="N74" i="2"/>
  <c r="H74" i="2"/>
  <c r="J74" i="2"/>
  <c r="O74" i="2"/>
  <c r="V74" i="2"/>
  <c r="P74" i="2"/>
  <c r="W74" i="2"/>
  <c r="T74" i="2"/>
  <c r="I74" i="2"/>
  <c r="U74" i="2"/>
  <c r="C117" i="10"/>
  <c r="X59" i="2"/>
  <c r="Z59" i="2"/>
  <c r="L59" i="2"/>
  <c r="Y59" i="2"/>
  <c r="R168" i="10"/>
  <c r="R167" i="10" s="1"/>
  <c r="S168" i="10"/>
  <c r="S167" i="10" s="1"/>
  <c r="T168" i="10"/>
  <c r="T167" i="10" s="1"/>
  <c r="I168" i="10"/>
  <c r="I167" i="10" s="1"/>
  <c r="G212" i="10"/>
  <c r="Y74" i="2" l="1"/>
  <c r="X74" i="2"/>
  <c r="R59" i="2"/>
  <c r="F9" i="11"/>
  <c r="L74" i="2"/>
  <c r="S74" i="2" s="1"/>
  <c r="Z74" i="2"/>
  <c r="Q59" i="2"/>
  <c r="S59" i="2"/>
  <c r="K9" i="11" l="1"/>
  <c r="M9" i="11"/>
  <c r="L9" i="11"/>
  <c r="R74" i="2"/>
  <c r="Q74" i="2"/>
  <c r="C114" i="10"/>
  <c r="C130" i="10"/>
  <c r="C144" i="10"/>
  <c r="C148" i="10"/>
  <c r="C154" i="10"/>
  <c r="C163" i="10"/>
  <c r="C179" i="10"/>
  <c r="C190" i="10"/>
  <c r="C193" i="10"/>
  <c r="C203" i="10"/>
  <c r="C206" i="10"/>
  <c r="C208" i="10"/>
  <c r="Q209" i="10"/>
  <c r="Q208" i="10" s="1"/>
  <c r="P209" i="10"/>
  <c r="P208" i="10" s="1"/>
  <c r="O209" i="10"/>
  <c r="O208" i="10" s="1"/>
  <c r="N209" i="10"/>
  <c r="N208" i="10" s="1"/>
  <c r="M208" i="10"/>
  <c r="L208" i="10"/>
  <c r="K209" i="10"/>
  <c r="K208" i="10" s="1"/>
  <c r="J209" i="10"/>
  <c r="H209" i="10"/>
  <c r="H208" i="10" s="1"/>
  <c r="G209" i="10"/>
  <c r="G208" i="10" s="1"/>
  <c r="J56" i="2" s="1"/>
  <c r="F209" i="10"/>
  <c r="F208" i="10" s="1"/>
  <c r="E209" i="10"/>
  <c r="E208" i="10" s="1"/>
  <c r="D209" i="10"/>
  <c r="D208" i="10" s="1"/>
  <c r="Q192" i="10"/>
  <c r="P192" i="10"/>
  <c r="O192" i="10"/>
  <c r="N192" i="10"/>
  <c r="K192" i="10"/>
  <c r="J192" i="10"/>
  <c r="H192" i="10"/>
  <c r="G192" i="10"/>
  <c r="F192" i="10"/>
  <c r="E192" i="10"/>
  <c r="D192" i="10"/>
  <c r="Q191" i="10"/>
  <c r="P191" i="10"/>
  <c r="O191" i="10"/>
  <c r="N191" i="10"/>
  <c r="K191" i="10"/>
  <c r="J191" i="10"/>
  <c r="H191" i="10"/>
  <c r="G191" i="10"/>
  <c r="F191" i="10"/>
  <c r="E191" i="10"/>
  <c r="D191" i="10"/>
  <c r="Q187" i="10"/>
  <c r="Q185" i="10" s="1"/>
  <c r="P187" i="10"/>
  <c r="P185" i="10" s="1"/>
  <c r="O187" i="10"/>
  <c r="O185" i="10" s="1"/>
  <c r="N187" i="10"/>
  <c r="N185" i="10" s="1"/>
  <c r="P88" i="2"/>
  <c r="O26" i="11" s="1"/>
  <c r="N88" i="2"/>
  <c r="I26" i="11" s="1"/>
  <c r="K187" i="10"/>
  <c r="K185" i="10" s="1"/>
  <c r="J187" i="10"/>
  <c r="J185" i="10" s="1"/>
  <c r="H187" i="10"/>
  <c r="H185" i="10" s="1"/>
  <c r="G187" i="10"/>
  <c r="G185" i="10" s="1"/>
  <c r="F187" i="10"/>
  <c r="F185" i="10" s="1"/>
  <c r="E187" i="10"/>
  <c r="E185" i="10" s="1"/>
  <c r="D187" i="10"/>
  <c r="Q166" i="10"/>
  <c r="P166" i="10"/>
  <c r="O166" i="10"/>
  <c r="N166" i="10"/>
  <c r="K166" i="10"/>
  <c r="J166" i="10"/>
  <c r="H166" i="10"/>
  <c r="G166" i="10"/>
  <c r="F166" i="10"/>
  <c r="E166" i="10"/>
  <c r="D166" i="10"/>
  <c r="Q165" i="10"/>
  <c r="P165" i="10"/>
  <c r="O165" i="10"/>
  <c r="N165" i="10"/>
  <c r="K165" i="10"/>
  <c r="J165" i="10"/>
  <c r="H165" i="10"/>
  <c r="G165" i="10"/>
  <c r="F165" i="10"/>
  <c r="E165" i="10"/>
  <c r="D165" i="10"/>
  <c r="Q164" i="10"/>
  <c r="P164" i="10"/>
  <c r="O164" i="10"/>
  <c r="N164" i="10"/>
  <c r="K164" i="10"/>
  <c r="J164" i="10"/>
  <c r="H164" i="10"/>
  <c r="G164" i="10"/>
  <c r="F164" i="10"/>
  <c r="E164" i="10"/>
  <c r="D164" i="10"/>
  <c r="Q157" i="10"/>
  <c r="P157" i="10"/>
  <c r="O157" i="10"/>
  <c r="N157" i="10"/>
  <c r="K157" i="10"/>
  <c r="J157" i="10"/>
  <c r="H157" i="10"/>
  <c r="G157" i="10"/>
  <c r="F157" i="10"/>
  <c r="E157" i="10"/>
  <c r="D157" i="10"/>
  <c r="Q156" i="10"/>
  <c r="P156" i="10"/>
  <c r="O156" i="10"/>
  <c r="N156" i="10"/>
  <c r="K156" i="10"/>
  <c r="J156" i="10"/>
  <c r="H156" i="10"/>
  <c r="G156" i="10"/>
  <c r="F156" i="10"/>
  <c r="E156" i="10"/>
  <c r="D156" i="10"/>
  <c r="Q155" i="10"/>
  <c r="P155" i="10"/>
  <c r="O155" i="10"/>
  <c r="N155" i="10"/>
  <c r="K155" i="10"/>
  <c r="J155" i="10"/>
  <c r="H155" i="10"/>
  <c r="G155" i="10"/>
  <c r="F155" i="10"/>
  <c r="E155" i="10"/>
  <c r="D155" i="10"/>
  <c r="Q147" i="10"/>
  <c r="P147" i="10"/>
  <c r="O147" i="10"/>
  <c r="N147" i="10"/>
  <c r="K147" i="10"/>
  <c r="J147" i="10"/>
  <c r="H147" i="10"/>
  <c r="G147" i="10"/>
  <c r="F147" i="10"/>
  <c r="E147" i="10"/>
  <c r="D147" i="10"/>
  <c r="Q146" i="10"/>
  <c r="P146" i="10"/>
  <c r="O146" i="10"/>
  <c r="N146" i="10"/>
  <c r="K146" i="10"/>
  <c r="J146" i="10"/>
  <c r="H146" i="10"/>
  <c r="G146" i="10"/>
  <c r="F146" i="10"/>
  <c r="E146" i="10"/>
  <c r="D146" i="10"/>
  <c r="Q145" i="10"/>
  <c r="P145" i="10"/>
  <c r="O145" i="10"/>
  <c r="N145" i="10"/>
  <c r="K145" i="10"/>
  <c r="J145" i="10"/>
  <c r="H145" i="10"/>
  <c r="G145" i="10"/>
  <c r="F145" i="10"/>
  <c r="E145" i="10"/>
  <c r="D145" i="10"/>
  <c r="Q115" i="10"/>
  <c r="Q114" i="10" s="1"/>
  <c r="W76" i="2" s="1"/>
  <c r="P115" i="10"/>
  <c r="P114" i="10" s="1"/>
  <c r="V76" i="2" s="1"/>
  <c r="O115" i="10"/>
  <c r="O114" i="10" s="1"/>
  <c r="U76" i="2" s="1"/>
  <c r="N115" i="10"/>
  <c r="N114" i="10" s="1"/>
  <c r="T76" i="2" s="1"/>
  <c r="M114" i="10"/>
  <c r="P76" i="2" s="1"/>
  <c r="O23" i="11" s="1"/>
  <c r="L114" i="10"/>
  <c r="N76" i="2" s="1"/>
  <c r="I23" i="11" s="1"/>
  <c r="K115" i="10"/>
  <c r="K114" i="10" s="1"/>
  <c r="M76" i="2" s="1"/>
  <c r="G23" i="11" s="1"/>
  <c r="J115" i="10"/>
  <c r="J114" i="10" s="1"/>
  <c r="O76" i="2" s="1"/>
  <c r="J23" i="11" s="1"/>
  <c r="H115" i="10"/>
  <c r="H114" i="10" s="1"/>
  <c r="K76" i="2" s="1"/>
  <c r="G115" i="10"/>
  <c r="G114" i="10" s="1"/>
  <c r="J76" i="2" s="1"/>
  <c r="F115" i="10"/>
  <c r="F114" i="10" s="1"/>
  <c r="I76" i="2" s="1"/>
  <c r="E115" i="10"/>
  <c r="E114" i="10" s="1"/>
  <c r="H76" i="2" s="1"/>
  <c r="D115" i="10"/>
  <c r="D114" i="10" s="1"/>
  <c r="G76" i="2" s="1"/>
  <c r="C107" i="10"/>
  <c r="Q108" i="10"/>
  <c r="Q107" i="10" s="1"/>
  <c r="W68" i="2" s="1"/>
  <c r="P108" i="10"/>
  <c r="P107" i="10" s="1"/>
  <c r="V68" i="2" s="1"/>
  <c r="O108" i="10"/>
  <c r="O107" i="10" s="1"/>
  <c r="U68" i="2" s="1"/>
  <c r="N108" i="10"/>
  <c r="N107" i="10" s="1"/>
  <c r="T68" i="2" s="1"/>
  <c r="M107" i="10"/>
  <c r="P68" i="2" s="1"/>
  <c r="O19" i="11" s="1"/>
  <c r="L107" i="10"/>
  <c r="N68" i="2" s="1"/>
  <c r="I19" i="11" s="1"/>
  <c r="K108" i="10"/>
  <c r="K107" i="10" s="1"/>
  <c r="M68" i="2" s="1"/>
  <c r="G19" i="11" s="1"/>
  <c r="J108" i="10"/>
  <c r="J107" i="10" s="1"/>
  <c r="O68" i="2" s="1"/>
  <c r="J19" i="11" s="1"/>
  <c r="H108" i="10"/>
  <c r="H107" i="10" s="1"/>
  <c r="K68" i="2" s="1"/>
  <c r="G108" i="10"/>
  <c r="G107" i="10" s="1"/>
  <c r="J68" i="2" s="1"/>
  <c r="F108" i="10"/>
  <c r="F107" i="10" s="1"/>
  <c r="I68" i="2" s="1"/>
  <c r="E108" i="10"/>
  <c r="E107" i="10" s="1"/>
  <c r="H68" i="2" s="1"/>
  <c r="D108" i="10"/>
  <c r="D107" i="10" s="1"/>
  <c r="G68" i="2" s="1"/>
  <c r="Q78" i="10"/>
  <c r="P78" i="10"/>
  <c r="O78" i="10"/>
  <c r="N78" i="10"/>
  <c r="P65" i="2"/>
  <c r="O16" i="11" s="1"/>
  <c r="N65" i="2"/>
  <c r="I16" i="11" s="1"/>
  <c r="K78" i="10"/>
  <c r="J78" i="10"/>
  <c r="H78" i="10"/>
  <c r="G78" i="10"/>
  <c r="G77" i="10" s="1"/>
  <c r="F78" i="10"/>
  <c r="E78" i="10"/>
  <c r="D78" i="10"/>
  <c r="Q125" i="10"/>
  <c r="P125" i="10"/>
  <c r="O125" i="10"/>
  <c r="N125" i="10"/>
  <c r="K125" i="10"/>
  <c r="J125" i="10"/>
  <c r="H125" i="10"/>
  <c r="G125" i="10"/>
  <c r="F125" i="10"/>
  <c r="E125" i="10"/>
  <c r="D125" i="10"/>
  <c r="Q84" i="10"/>
  <c r="Q83" i="10" s="1"/>
  <c r="P84" i="10"/>
  <c r="P83" i="10" s="1"/>
  <c r="O84" i="10"/>
  <c r="O83" i="10" s="1"/>
  <c r="N84" i="10"/>
  <c r="N83" i="10" s="1"/>
  <c r="K84" i="10"/>
  <c r="K83" i="10" s="1"/>
  <c r="J84" i="10"/>
  <c r="J83" i="10" s="1"/>
  <c r="H84" i="10"/>
  <c r="H83" i="10" s="1"/>
  <c r="G84" i="10"/>
  <c r="G83" i="10" s="1"/>
  <c r="F84" i="10"/>
  <c r="F83" i="10" s="1"/>
  <c r="E84" i="10"/>
  <c r="E83" i="10" s="1"/>
  <c r="D84" i="10"/>
  <c r="D83" i="10" s="1"/>
  <c r="Q92" i="10"/>
  <c r="P92" i="10"/>
  <c r="O92" i="10"/>
  <c r="N92" i="10"/>
  <c r="K92" i="10"/>
  <c r="J92" i="10"/>
  <c r="H92" i="10"/>
  <c r="G92" i="10"/>
  <c r="F92" i="10"/>
  <c r="E92" i="10"/>
  <c r="D92" i="10"/>
  <c r="E184" i="10"/>
  <c r="D185" i="10" l="1"/>
  <c r="G88" i="2" s="1"/>
  <c r="H88" i="2"/>
  <c r="I88" i="2"/>
  <c r="J88" i="2"/>
  <c r="T88" i="2"/>
  <c r="K88" i="2"/>
  <c r="U88" i="2"/>
  <c r="O88" i="2"/>
  <c r="V88" i="2"/>
  <c r="M88" i="2"/>
  <c r="W88" i="2"/>
  <c r="H23" i="11"/>
  <c r="H19" i="11"/>
  <c r="D77" i="10"/>
  <c r="G65" i="2" s="1"/>
  <c r="H77" i="10"/>
  <c r="K65" i="2" s="1"/>
  <c r="Q77" i="10"/>
  <c r="W65" i="2" s="1"/>
  <c r="E77" i="10"/>
  <c r="H65" i="2" s="1"/>
  <c r="J77" i="10"/>
  <c r="O65" i="2" s="1"/>
  <c r="N77" i="10"/>
  <c r="T65" i="2" s="1"/>
  <c r="P77" i="10"/>
  <c r="V65" i="2" s="1"/>
  <c r="F77" i="10"/>
  <c r="I65" i="2" s="1"/>
  <c r="K77" i="10"/>
  <c r="M65" i="2" s="1"/>
  <c r="O77" i="10"/>
  <c r="U65" i="2" s="1"/>
  <c r="J65" i="2"/>
  <c r="E124" i="10"/>
  <c r="N124" i="10"/>
  <c r="J124" i="10"/>
  <c r="F124" i="10"/>
  <c r="K124" i="10"/>
  <c r="O124" i="10"/>
  <c r="G124" i="10"/>
  <c r="L124" i="10"/>
  <c r="P124" i="10"/>
  <c r="D124" i="10"/>
  <c r="H124" i="10"/>
  <c r="M124" i="10"/>
  <c r="Q124" i="10"/>
  <c r="K91" i="10"/>
  <c r="P91" i="10"/>
  <c r="O91" i="10"/>
  <c r="G91" i="10"/>
  <c r="D91" i="10"/>
  <c r="M91" i="10"/>
  <c r="Q91" i="10"/>
  <c r="F91" i="10"/>
  <c r="L91" i="10"/>
  <c r="H91" i="10"/>
  <c r="E91" i="10"/>
  <c r="J91" i="10"/>
  <c r="N91" i="10"/>
  <c r="E82" i="10"/>
  <c r="N82" i="10"/>
  <c r="H82" i="10"/>
  <c r="F82" i="10"/>
  <c r="K82" i="10"/>
  <c r="O82" i="10"/>
  <c r="D82" i="10"/>
  <c r="Q82" i="10"/>
  <c r="G82" i="10"/>
  <c r="P82" i="10"/>
  <c r="X76" i="2"/>
  <c r="Z76" i="2"/>
  <c r="Y76" i="2"/>
  <c r="X68" i="2"/>
  <c r="L76" i="2"/>
  <c r="L68" i="2"/>
  <c r="Z68" i="2"/>
  <c r="Y68" i="2"/>
  <c r="Q190" i="10"/>
  <c r="E190" i="10"/>
  <c r="J190" i="10"/>
  <c r="N190" i="10"/>
  <c r="E163" i="10"/>
  <c r="H60" i="2" s="1"/>
  <c r="D144" i="10"/>
  <c r="H144" i="10"/>
  <c r="M144" i="10"/>
  <c r="Q144" i="10"/>
  <c r="E154" i="10"/>
  <c r="J154" i="10"/>
  <c r="N154" i="10"/>
  <c r="F190" i="10"/>
  <c r="K190" i="10"/>
  <c r="O190" i="10"/>
  <c r="L144" i="10"/>
  <c r="F163" i="10"/>
  <c r="I60" i="2" s="1"/>
  <c r="K163" i="10"/>
  <c r="M60" i="2" s="1"/>
  <c r="G10" i="11" s="1"/>
  <c r="O163" i="10"/>
  <c r="U60" i="2" s="1"/>
  <c r="H163" i="10"/>
  <c r="K60" i="2" s="1"/>
  <c r="M163" i="10"/>
  <c r="P60" i="2" s="1"/>
  <c r="O10" i="11" s="1"/>
  <c r="D190" i="10"/>
  <c r="E144" i="10"/>
  <c r="J144" i="10"/>
  <c r="N144" i="10"/>
  <c r="F154" i="10"/>
  <c r="K154" i="10"/>
  <c r="O154" i="10"/>
  <c r="P163" i="10"/>
  <c r="V60" i="2" s="1"/>
  <c r="G154" i="10"/>
  <c r="G190" i="10"/>
  <c r="L190" i="10"/>
  <c r="P190" i="10"/>
  <c r="G163" i="10"/>
  <c r="J60" i="2" s="1"/>
  <c r="L163" i="10"/>
  <c r="N60" i="2" s="1"/>
  <c r="I10" i="11" s="1"/>
  <c r="F144" i="10"/>
  <c r="K144" i="10"/>
  <c r="O144" i="10"/>
  <c r="L154" i="10"/>
  <c r="P154" i="10"/>
  <c r="D163" i="10"/>
  <c r="G60" i="2" s="1"/>
  <c r="Q163" i="10"/>
  <c r="W60" i="2" s="1"/>
  <c r="T209" i="10"/>
  <c r="T208" i="10" s="1"/>
  <c r="J208" i="10"/>
  <c r="G144" i="10"/>
  <c r="P144" i="10"/>
  <c r="D154" i="10"/>
  <c r="H154" i="10"/>
  <c r="M154" i="10"/>
  <c r="Q154" i="10"/>
  <c r="J163" i="10"/>
  <c r="O60" i="2" s="1"/>
  <c r="J10" i="11" s="1"/>
  <c r="N163" i="10"/>
  <c r="T60" i="2" s="1"/>
  <c r="H190" i="10"/>
  <c r="M190" i="10"/>
  <c r="R191" i="10"/>
  <c r="T192" i="10"/>
  <c r="R209" i="10"/>
  <c r="R208" i="10" s="1"/>
  <c r="S209" i="10"/>
  <c r="S208" i="10" s="1"/>
  <c r="I209" i="10"/>
  <c r="I208" i="10" s="1"/>
  <c r="T187" i="10"/>
  <c r="T185" i="10" s="1"/>
  <c r="R192" i="10"/>
  <c r="S192" i="10"/>
  <c r="R187" i="10"/>
  <c r="R185" i="10" s="1"/>
  <c r="I191" i="10"/>
  <c r="T191" i="10"/>
  <c r="T166" i="10"/>
  <c r="S187" i="10"/>
  <c r="S185" i="10" s="1"/>
  <c r="S191" i="10"/>
  <c r="I192" i="10"/>
  <c r="I187" i="10"/>
  <c r="I185" i="10" s="1"/>
  <c r="R146" i="10"/>
  <c r="R166" i="10"/>
  <c r="T164" i="10"/>
  <c r="R165" i="10"/>
  <c r="R164" i="10"/>
  <c r="I165" i="10"/>
  <c r="T165" i="10"/>
  <c r="S166" i="10"/>
  <c r="S164" i="10"/>
  <c r="S165" i="10"/>
  <c r="I166" i="10"/>
  <c r="I164" i="10"/>
  <c r="R157" i="10"/>
  <c r="R156" i="10"/>
  <c r="T157" i="10"/>
  <c r="S145" i="10"/>
  <c r="T147" i="10"/>
  <c r="T155" i="10"/>
  <c r="I147" i="10"/>
  <c r="R155" i="10"/>
  <c r="I156" i="10"/>
  <c r="T156" i="10"/>
  <c r="S157" i="10"/>
  <c r="S155" i="10"/>
  <c r="S156" i="10"/>
  <c r="I157" i="10"/>
  <c r="I155" i="10"/>
  <c r="T145" i="10"/>
  <c r="R147" i="10"/>
  <c r="S146" i="10"/>
  <c r="S147" i="10"/>
  <c r="T115" i="10"/>
  <c r="T114" i="10" s="1"/>
  <c r="R145" i="10"/>
  <c r="I146" i="10"/>
  <c r="T146" i="10"/>
  <c r="I145" i="10"/>
  <c r="R115" i="10"/>
  <c r="R114" i="10" s="1"/>
  <c r="S115" i="10"/>
  <c r="S114" i="10" s="1"/>
  <c r="I115" i="10"/>
  <c r="I114" i="10" s="1"/>
  <c r="T108" i="10"/>
  <c r="T107" i="10" s="1"/>
  <c r="R108" i="10"/>
  <c r="R107" i="10" s="1"/>
  <c r="S108" i="10"/>
  <c r="S107" i="10" s="1"/>
  <c r="I108" i="10"/>
  <c r="I107" i="10" s="1"/>
  <c r="R78" i="10"/>
  <c r="R77" i="10" s="1"/>
  <c r="S78" i="10"/>
  <c r="S77" i="10" s="1"/>
  <c r="T78" i="10"/>
  <c r="T77" i="10" s="1"/>
  <c r="I78" i="10"/>
  <c r="I77" i="10" s="1"/>
  <c r="R84" i="10"/>
  <c r="R83" i="10" s="1"/>
  <c r="R125" i="10"/>
  <c r="S125" i="10"/>
  <c r="T84" i="10"/>
  <c r="T83" i="10" s="1"/>
  <c r="T125" i="10"/>
  <c r="I125" i="10"/>
  <c r="S84" i="10"/>
  <c r="S83" i="10" s="1"/>
  <c r="I84" i="10"/>
  <c r="I83" i="10" s="1"/>
  <c r="R92" i="10"/>
  <c r="T92" i="10"/>
  <c r="S92" i="10"/>
  <c r="I92" i="10"/>
  <c r="K75" i="2" l="1"/>
  <c r="H123" i="10"/>
  <c r="H117" i="10" s="1"/>
  <c r="N75" i="2"/>
  <c r="L123" i="10"/>
  <c r="L117" i="10" s="1"/>
  <c r="M75" i="2"/>
  <c r="K123" i="10"/>
  <c r="K117" i="10" s="1"/>
  <c r="T75" i="2"/>
  <c r="N123" i="10"/>
  <c r="N117" i="10" s="1"/>
  <c r="W75" i="2"/>
  <c r="Q123" i="10"/>
  <c r="Q117" i="10" s="1"/>
  <c r="G75" i="2"/>
  <c r="D123" i="10"/>
  <c r="D117" i="10" s="1"/>
  <c r="J75" i="2"/>
  <c r="G123" i="10"/>
  <c r="G117" i="10" s="1"/>
  <c r="I75" i="2"/>
  <c r="F123" i="10"/>
  <c r="F117" i="10" s="1"/>
  <c r="H75" i="2"/>
  <c r="E123" i="10"/>
  <c r="E117" i="10" s="1"/>
  <c r="P75" i="2"/>
  <c r="M123" i="10"/>
  <c r="M117" i="10" s="1"/>
  <c r="V75" i="2"/>
  <c r="P123" i="10"/>
  <c r="P117" i="10" s="1"/>
  <c r="U75" i="2"/>
  <c r="O123" i="10"/>
  <c r="O117" i="10" s="1"/>
  <c r="O75" i="2"/>
  <c r="J123" i="10"/>
  <c r="J117" i="10" s="1"/>
  <c r="J26" i="11"/>
  <c r="Y88" i="2"/>
  <c r="Z88" i="2"/>
  <c r="L88" i="2"/>
  <c r="F26" i="11" s="1"/>
  <c r="G26" i="11"/>
  <c r="H26" i="11" s="1"/>
  <c r="X88" i="2"/>
  <c r="M82" i="10"/>
  <c r="M81" i="10" s="1"/>
  <c r="M80" i="10" s="1"/>
  <c r="L82" i="10"/>
  <c r="L81" i="10" s="1"/>
  <c r="L80" i="10" s="1"/>
  <c r="J82" i="10"/>
  <c r="J81" i="10" s="1"/>
  <c r="J80" i="10" s="1"/>
  <c r="H10" i="11"/>
  <c r="J16" i="11"/>
  <c r="Z65" i="2"/>
  <c r="Y65" i="2"/>
  <c r="G16" i="11"/>
  <c r="H16" i="11" s="1"/>
  <c r="X65" i="2"/>
  <c r="L65" i="2"/>
  <c r="Q65" i="2" s="1"/>
  <c r="T73" i="2"/>
  <c r="N90" i="10"/>
  <c r="N89" i="10" s="1"/>
  <c r="H73" i="2"/>
  <c r="E90" i="10"/>
  <c r="E89" i="10" s="1"/>
  <c r="N73" i="2"/>
  <c r="L90" i="10"/>
  <c r="L89" i="10" s="1"/>
  <c r="W73" i="2"/>
  <c r="Q90" i="10"/>
  <c r="Q89" i="10" s="1"/>
  <c r="G73" i="2"/>
  <c r="D90" i="10"/>
  <c r="D89" i="10" s="1"/>
  <c r="U73" i="2"/>
  <c r="O90" i="10"/>
  <c r="O89" i="10" s="1"/>
  <c r="M73" i="2"/>
  <c r="K90" i="10"/>
  <c r="K89" i="10" s="1"/>
  <c r="O73" i="2"/>
  <c r="J90" i="10"/>
  <c r="J89" i="10" s="1"/>
  <c r="K73" i="2"/>
  <c r="H90" i="10"/>
  <c r="H89" i="10" s="1"/>
  <c r="I73" i="2"/>
  <c r="F90" i="10"/>
  <c r="F89" i="10" s="1"/>
  <c r="P73" i="2"/>
  <c r="M90" i="10"/>
  <c r="M89" i="10" s="1"/>
  <c r="J73" i="2"/>
  <c r="G90" i="10"/>
  <c r="G89" i="10" s="1"/>
  <c r="V73" i="2"/>
  <c r="P90" i="10"/>
  <c r="P89" i="10" s="1"/>
  <c r="Q76" i="2"/>
  <c r="F23" i="11"/>
  <c r="Q68" i="2"/>
  <c r="F19" i="11"/>
  <c r="N72" i="2"/>
  <c r="O81" i="10"/>
  <c r="O80" i="10" s="1"/>
  <c r="U72" i="2"/>
  <c r="N81" i="10"/>
  <c r="N80" i="10" s="1"/>
  <c r="T72" i="2"/>
  <c r="G81" i="10"/>
  <c r="G80" i="10" s="1"/>
  <c r="J72" i="2"/>
  <c r="K81" i="10"/>
  <c r="K80" i="10" s="1"/>
  <c r="M72" i="2"/>
  <c r="O72" i="2"/>
  <c r="Q81" i="10"/>
  <c r="Q80" i="10" s="1"/>
  <c r="W72" i="2"/>
  <c r="F81" i="10"/>
  <c r="F80" i="10" s="1"/>
  <c r="I72" i="2"/>
  <c r="E81" i="10"/>
  <c r="E80" i="10" s="1"/>
  <c r="H72" i="2"/>
  <c r="P81" i="10"/>
  <c r="P80" i="10" s="1"/>
  <c r="V72" i="2"/>
  <c r="D81" i="10"/>
  <c r="D80" i="10" s="1"/>
  <c r="G72" i="2"/>
  <c r="H81" i="10"/>
  <c r="H80" i="10" s="1"/>
  <c r="K72" i="2"/>
  <c r="P72" i="2"/>
  <c r="I124" i="10"/>
  <c r="I123" i="10" s="1"/>
  <c r="I117" i="10" s="1"/>
  <c r="R124" i="10"/>
  <c r="R123" i="10" s="1"/>
  <c r="R117" i="10" s="1"/>
  <c r="T124" i="10"/>
  <c r="T123" i="10" s="1"/>
  <c r="T117" i="10" s="1"/>
  <c r="S124" i="10"/>
  <c r="S123" i="10" s="1"/>
  <c r="S117" i="10" s="1"/>
  <c r="T91" i="10"/>
  <c r="T90" i="10" s="1"/>
  <c r="T89" i="10" s="1"/>
  <c r="R91" i="10"/>
  <c r="R90" i="10" s="1"/>
  <c r="R89" i="10" s="1"/>
  <c r="I91" i="10"/>
  <c r="I90" i="10" s="1"/>
  <c r="I89" i="10" s="1"/>
  <c r="S91" i="10"/>
  <c r="S90" i="10" s="1"/>
  <c r="S89" i="10" s="1"/>
  <c r="L60" i="2"/>
  <c r="Z60" i="2"/>
  <c r="S68" i="2"/>
  <c r="Y60" i="2"/>
  <c r="X60" i="2"/>
  <c r="R68" i="2"/>
  <c r="S76" i="2"/>
  <c r="R76" i="2"/>
  <c r="I163" i="10"/>
  <c r="S190" i="10"/>
  <c r="I190" i="10"/>
  <c r="R190" i="10"/>
  <c r="T154" i="10"/>
  <c r="R144" i="10"/>
  <c r="T163" i="10"/>
  <c r="I144" i="10"/>
  <c r="T144" i="10"/>
  <c r="S154" i="10"/>
  <c r="R154" i="10"/>
  <c r="S144" i="10"/>
  <c r="I154" i="10"/>
  <c r="S163" i="10"/>
  <c r="R163" i="10"/>
  <c r="T190" i="10"/>
  <c r="X75" i="2" l="1"/>
  <c r="Z75" i="2"/>
  <c r="Y75" i="2"/>
  <c r="Q88" i="2"/>
  <c r="K26" i="11"/>
  <c r="L75" i="2"/>
  <c r="Q75" i="2" s="1"/>
  <c r="R88" i="2"/>
  <c r="S88" i="2"/>
  <c r="R65" i="2"/>
  <c r="S65" i="2"/>
  <c r="F16" i="11"/>
  <c r="L16" i="11" s="1"/>
  <c r="X73" i="2"/>
  <c r="I82" i="10"/>
  <c r="I81" i="10" s="1"/>
  <c r="I80" i="10" s="1"/>
  <c r="T82" i="10"/>
  <c r="T81" i="10" s="1"/>
  <c r="T80" i="10" s="1"/>
  <c r="R82" i="10"/>
  <c r="R81" i="10" s="1"/>
  <c r="R80" i="10" s="1"/>
  <c r="S82" i="10"/>
  <c r="S81" i="10" s="1"/>
  <c r="S80" i="10" s="1"/>
  <c r="Y73" i="2"/>
  <c r="L73" i="2"/>
  <c r="S73" i="2" s="1"/>
  <c r="Z73" i="2"/>
  <c r="M26" i="11"/>
  <c r="L26" i="11"/>
  <c r="K23" i="11"/>
  <c r="M23" i="11"/>
  <c r="L23" i="11"/>
  <c r="Q60" i="2"/>
  <c r="F10" i="11"/>
  <c r="K19" i="11"/>
  <c r="L19" i="11"/>
  <c r="M19" i="11"/>
  <c r="X72" i="2"/>
  <c r="Z72" i="2"/>
  <c r="L72" i="2"/>
  <c r="S72" i="2" s="1"/>
  <c r="Y72" i="2"/>
  <c r="R60" i="2"/>
  <c r="S60" i="2"/>
  <c r="C158" i="10"/>
  <c r="C112" i="10"/>
  <c r="C111" i="10" s="1"/>
  <c r="C105" i="10"/>
  <c r="C74" i="10"/>
  <c r="C73" i="10" s="1"/>
  <c r="Q213" i="10"/>
  <c r="Q212" i="10" s="1"/>
  <c r="W56" i="2" s="1"/>
  <c r="P213" i="10"/>
  <c r="P212" i="10" s="1"/>
  <c r="V56" i="2" s="1"/>
  <c r="O213" i="10"/>
  <c r="O212" i="10" s="1"/>
  <c r="U56" i="2" s="1"/>
  <c r="N213" i="10"/>
  <c r="N212" i="10" s="1"/>
  <c r="T56" i="2" s="1"/>
  <c r="M212" i="10"/>
  <c r="P56" i="2" s="1"/>
  <c r="O14" i="11" s="1"/>
  <c r="L212" i="10"/>
  <c r="N56" i="2" s="1"/>
  <c r="I14" i="11" s="1"/>
  <c r="K213" i="10"/>
  <c r="K212" i="10" s="1"/>
  <c r="M56" i="2" s="1"/>
  <c r="G14" i="11" s="1"/>
  <c r="J213" i="10"/>
  <c r="J212" i="10" s="1"/>
  <c r="O56" i="2" s="1"/>
  <c r="J14" i="11" s="1"/>
  <c r="H213" i="10"/>
  <c r="H212" i="10" s="1"/>
  <c r="K56" i="2" s="1"/>
  <c r="F213" i="10"/>
  <c r="F212" i="10" s="1"/>
  <c r="I56" i="2" s="1"/>
  <c r="E213" i="10"/>
  <c r="E212" i="10" s="1"/>
  <c r="H56" i="2" s="1"/>
  <c r="D213" i="10"/>
  <c r="E9" i="14"/>
  <c r="S75" i="2" l="1"/>
  <c r="R75" i="2"/>
  <c r="H14" i="11"/>
  <c r="K16" i="11"/>
  <c r="M16" i="11"/>
  <c r="Q73" i="2"/>
  <c r="R73" i="2"/>
  <c r="K10" i="11"/>
  <c r="M10" i="11"/>
  <c r="L10" i="11"/>
  <c r="R72" i="2"/>
  <c r="Q72" i="2"/>
  <c r="Z56" i="2"/>
  <c r="X56" i="2"/>
  <c r="Y56" i="2"/>
  <c r="D212" i="10"/>
  <c r="G56" i="2" s="1"/>
  <c r="L56" i="2" s="1"/>
  <c r="I213" i="10"/>
  <c r="I212" i="10" s="1"/>
  <c r="T213" i="10"/>
  <c r="T212" i="10" s="1"/>
  <c r="R213" i="10"/>
  <c r="R212" i="10" s="1"/>
  <c r="S213" i="10"/>
  <c r="S212" i="10" s="1"/>
  <c r="P211" i="10"/>
  <c r="P210" i="10" s="1"/>
  <c r="P207" i="10"/>
  <c r="P206" i="10" s="1"/>
  <c r="P205" i="10"/>
  <c r="P204" i="10"/>
  <c r="P202" i="10"/>
  <c r="P201" i="10"/>
  <c r="P200" i="10"/>
  <c r="P199" i="10"/>
  <c r="P198" i="10"/>
  <c r="P197" i="10"/>
  <c r="P194" i="10"/>
  <c r="P193" i="10" s="1"/>
  <c r="P184" i="10"/>
  <c r="P183" i="10"/>
  <c r="P182" i="10"/>
  <c r="P181" i="10"/>
  <c r="P180" i="10"/>
  <c r="P174" i="10"/>
  <c r="P173" i="10"/>
  <c r="P172" i="10"/>
  <c r="P162" i="10"/>
  <c r="P161" i="10"/>
  <c r="P160" i="10"/>
  <c r="P159" i="10"/>
  <c r="P152" i="10"/>
  <c r="P153" i="10"/>
  <c r="P151" i="10"/>
  <c r="P150" i="10"/>
  <c r="P149" i="10"/>
  <c r="P142" i="10"/>
  <c r="P141" i="10"/>
  <c r="P140" i="10"/>
  <c r="P139" i="10"/>
  <c r="P138" i="10"/>
  <c r="P137" i="10"/>
  <c r="P133" i="10"/>
  <c r="P132" i="10"/>
  <c r="P131" i="10"/>
  <c r="P113" i="10"/>
  <c r="P112" i="10" s="1"/>
  <c r="P111" i="10" s="1"/>
  <c r="P110" i="10"/>
  <c r="P109" i="10" s="1"/>
  <c r="P106" i="10"/>
  <c r="P105" i="10" s="1"/>
  <c r="P97" i="10"/>
  <c r="P96" i="10" s="1"/>
  <c r="P95" i="10" s="1"/>
  <c r="P76" i="10"/>
  <c r="P75" i="10"/>
  <c r="P66" i="10"/>
  <c r="P65" i="10"/>
  <c r="P64" i="10"/>
  <c r="P61" i="10"/>
  <c r="P58" i="10"/>
  <c r="P57" i="10"/>
  <c r="P54" i="10"/>
  <c r="P53" i="10"/>
  <c r="P52" i="10"/>
  <c r="P48" i="10"/>
  <c r="P47" i="10"/>
  <c r="P46" i="10"/>
  <c r="P45" i="10"/>
  <c r="P44" i="10"/>
  <c r="P43" i="10"/>
  <c r="P42" i="10"/>
  <c r="P41" i="10"/>
  <c r="P40" i="10"/>
  <c r="P38" i="10"/>
  <c r="P37" i="10"/>
  <c r="P35" i="10"/>
  <c r="P32" i="10"/>
  <c r="P28" i="10"/>
  <c r="P27" i="10"/>
  <c r="P26" i="10"/>
  <c r="P23" i="10"/>
  <c r="P22" i="10"/>
  <c r="P21" i="10"/>
  <c r="P20" i="10"/>
  <c r="P19" i="10"/>
  <c r="P18" i="10"/>
  <c r="P17" i="10"/>
  <c r="P15" i="10"/>
  <c r="P14" i="10"/>
  <c r="P12" i="10"/>
  <c r="P11" i="10"/>
  <c r="P10" i="10"/>
  <c r="P9" i="10"/>
  <c r="P8" i="10"/>
  <c r="Q184" i="10"/>
  <c r="O184" i="10"/>
  <c r="N184" i="10"/>
  <c r="K184" i="10"/>
  <c r="J184" i="10"/>
  <c r="H184" i="10"/>
  <c r="G184" i="10"/>
  <c r="F184" i="10"/>
  <c r="D184" i="10"/>
  <c r="P136" i="10" l="1"/>
  <c r="P195" i="10"/>
  <c r="P169" i="10"/>
  <c r="P88" i="10"/>
  <c r="P87" i="10" s="1"/>
  <c r="Q56" i="2"/>
  <c r="F14" i="11"/>
  <c r="S56" i="2"/>
  <c r="R56" i="2"/>
  <c r="P104" i="10"/>
  <c r="P103" i="10" s="1"/>
  <c r="P102" i="10" s="1"/>
  <c r="P101" i="10" s="1"/>
  <c r="P100" i="10" s="1"/>
  <c r="P148" i="10"/>
  <c r="P179" i="10"/>
  <c r="P203" i="10"/>
  <c r="P158" i="10"/>
  <c r="V57" i="2" s="1"/>
  <c r="V82" i="2"/>
  <c r="P130" i="10"/>
  <c r="V52" i="2"/>
  <c r="S184" i="10"/>
  <c r="R184" i="10"/>
  <c r="I184" i="10"/>
  <c r="T184" i="10"/>
  <c r="P129" i="10" l="1"/>
  <c r="P128" i="10" s="1"/>
  <c r="P116" i="10" s="1"/>
  <c r="K14" i="11"/>
  <c r="L14" i="11"/>
  <c r="M14" i="11"/>
  <c r="Q162" i="10" l="1"/>
  <c r="O162" i="10"/>
  <c r="N162" i="10"/>
  <c r="K162" i="10"/>
  <c r="J162" i="10"/>
  <c r="H162" i="10"/>
  <c r="G162" i="10"/>
  <c r="F162" i="10"/>
  <c r="E162" i="10"/>
  <c r="D162" i="10"/>
  <c r="T162" i="10" l="1"/>
  <c r="R162" i="10"/>
  <c r="S162" i="10"/>
  <c r="I162" i="10"/>
  <c r="K53" i="14" l="1"/>
  <c r="K52" i="14"/>
  <c r="J23" i="5"/>
  <c r="J22" i="5"/>
  <c r="J21" i="5"/>
  <c r="J20" i="5"/>
  <c r="J19" i="5"/>
  <c r="J18" i="5"/>
  <c r="J17" i="5"/>
  <c r="J16" i="5"/>
  <c r="J15" i="5"/>
  <c r="J14" i="5"/>
  <c r="J13" i="5"/>
  <c r="J11" i="5"/>
  <c r="J10" i="5"/>
  <c r="J9" i="5"/>
  <c r="J8" i="5"/>
  <c r="J7" i="5"/>
  <c r="J6" i="5"/>
  <c r="J5" i="5"/>
  <c r="J4" i="5"/>
  <c r="J3" i="5"/>
  <c r="O3" i="4"/>
  <c r="N3" i="4"/>
  <c r="M3" i="4"/>
  <c r="L3" i="4"/>
  <c r="F3" i="4"/>
  <c r="E19" i="14" l="1"/>
  <c r="D19" i="14"/>
  <c r="C19" i="14"/>
  <c r="E30" i="14"/>
  <c r="D30" i="14"/>
  <c r="C30" i="14"/>
  <c r="E41" i="14"/>
  <c r="D41" i="14"/>
  <c r="C41" i="14"/>
  <c r="E27" i="14"/>
  <c r="D27" i="14"/>
  <c r="C27" i="14"/>
  <c r="D24" i="14"/>
  <c r="C24" i="14"/>
  <c r="E37" i="14" l="1"/>
  <c r="D37" i="14"/>
  <c r="C37" i="14"/>
  <c r="C36" i="14" s="1"/>
  <c r="E40" i="14"/>
  <c r="D40" i="14"/>
  <c r="F56" i="14"/>
  <c r="F54" i="14"/>
  <c r="F53" i="14"/>
  <c r="F52" i="14"/>
  <c r="F49" i="14"/>
  <c r="F47" i="14"/>
  <c r="F45" i="14"/>
  <c r="F42" i="14"/>
  <c r="F41" i="14"/>
  <c r="F38" i="14"/>
  <c r="F35" i="14"/>
  <c r="F34" i="14"/>
  <c r="F30" i="14"/>
  <c r="F27" i="14"/>
  <c r="F25" i="14"/>
  <c r="F24" i="14"/>
  <c r="F23" i="14"/>
  <c r="F19" i="14"/>
  <c r="F15" i="14"/>
  <c r="F14" i="14"/>
  <c r="F13" i="14"/>
  <c r="F12" i="14"/>
  <c r="E33" i="14"/>
  <c r="F33" i="14" s="1"/>
  <c r="D33" i="14"/>
  <c r="E29" i="14"/>
  <c r="D29" i="14"/>
  <c r="E28" i="14"/>
  <c r="D28" i="14"/>
  <c r="E22" i="14"/>
  <c r="D22" i="14"/>
  <c r="E21" i="14"/>
  <c r="D21" i="14"/>
  <c r="E20" i="14"/>
  <c r="D20" i="14"/>
  <c r="E18" i="14"/>
  <c r="F18" i="14" s="1"/>
  <c r="D18" i="14"/>
  <c r="E17" i="14"/>
  <c r="D17" i="14"/>
  <c r="E16" i="14"/>
  <c r="D16" i="14"/>
  <c r="D11" i="14"/>
  <c r="E10" i="14"/>
  <c r="D10" i="14"/>
  <c r="D9" i="14"/>
  <c r="F11" i="14" l="1"/>
  <c r="F20" i="14"/>
  <c r="F29" i="14"/>
  <c r="F9" i="14"/>
  <c r="F10" i="14"/>
  <c r="F16" i="14"/>
  <c r="F21" i="14"/>
  <c r="F17" i="14"/>
  <c r="F22" i="14"/>
  <c r="F28" i="14"/>
  <c r="F37" i="14"/>
  <c r="F40" i="14"/>
  <c r="E62" i="14"/>
  <c r="D62" i="14"/>
  <c r="E61" i="14"/>
  <c r="D61" i="14"/>
  <c r="E60" i="14"/>
  <c r="D60" i="14"/>
  <c r="E59" i="14"/>
  <c r="D59" i="14"/>
  <c r="D58" i="14"/>
  <c r="F58" i="14" s="1"/>
  <c r="E57" i="14"/>
  <c r="D57" i="14"/>
  <c r="E55" i="14"/>
  <c r="D55" i="14"/>
  <c r="C62" i="14"/>
  <c r="C59" i="14"/>
  <c r="C55" i="14"/>
  <c r="C61" i="14"/>
  <c r="F61" i="14" l="1"/>
  <c r="F60" i="14"/>
  <c r="F57" i="14"/>
  <c r="F59" i="14"/>
  <c r="F62" i="14"/>
  <c r="D64" i="14"/>
  <c r="E64" i="14"/>
  <c r="F55" i="14"/>
  <c r="C60" i="14"/>
  <c r="C58" i="14"/>
  <c r="C57" i="14"/>
  <c r="F64" i="14" l="1"/>
  <c r="C64" i="14"/>
  <c r="N23" i="5"/>
  <c r="N22" i="5"/>
  <c r="N21" i="5"/>
  <c r="N20" i="5"/>
  <c r="N19" i="5"/>
  <c r="N18" i="5"/>
  <c r="N17" i="5"/>
  <c r="N16" i="5"/>
  <c r="N15" i="5"/>
  <c r="N14" i="5"/>
  <c r="N13" i="5"/>
  <c r="N11" i="5"/>
  <c r="N10" i="5"/>
  <c r="N9" i="5"/>
  <c r="N8" i="5"/>
  <c r="N7" i="5"/>
  <c r="N6" i="5"/>
  <c r="N5" i="5"/>
  <c r="N4" i="5"/>
  <c r="N3" i="5"/>
  <c r="M23" i="5"/>
  <c r="M22" i="5"/>
  <c r="M21" i="5"/>
  <c r="M20" i="5"/>
  <c r="M19" i="5"/>
  <c r="M18" i="5"/>
  <c r="M17" i="5"/>
  <c r="M16" i="5"/>
  <c r="M15" i="5"/>
  <c r="M14" i="5"/>
  <c r="M13" i="5"/>
  <c r="M11" i="5"/>
  <c r="M10" i="5"/>
  <c r="M9" i="5"/>
  <c r="M8" i="5"/>
  <c r="M7" i="5"/>
  <c r="M6" i="5"/>
  <c r="D11" i="5"/>
  <c r="D10" i="5"/>
  <c r="D9" i="5"/>
  <c r="D8" i="5"/>
  <c r="D7" i="5"/>
  <c r="D6" i="5"/>
  <c r="D5" i="5"/>
  <c r="D4" i="5"/>
  <c r="D3" i="5"/>
  <c r="D23" i="5"/>
  <c r="D22" i="5"/>
  <c r="D21" i="5"/>
  <c r="D20" i="5"/>
  <c r="D19" i="5"/>
  <c r="D18" i="5"/>
  <c r="D17" i="5"/>
  <c r="D16" i="5"/>
  <c r="D15" i="5"/>
  <c r="D14" i="5"/>
  <c r="D13" i="5"/>
  <c r="C33" i="14" l="1"/>
  <c r="C32" i="14" s="1"/>
  <c r="C40" i="14"/>
  <c r="C39" i="14" s="1"/>
  <c r="C29" i="14"/>
  <c r="C28" i="14"/>
  <c r="C18" i="14"/>
  <c r="C21" i="14"/>
  <c r="C22" i="14"/>
  <c r="C17" i="14"/>
  <c r="C20" i="14"/>
  <c r="C16" i="14"/>
  <c r="C11" i="14"/>
  <c r="C10" i="14"/>
  <c r="C9" i="14"/>
  <c r="C26" i="14" l="1"/>
  <c r="C8" i="14"/>
  <c r="I51" i="14"/>
  <c r="H51" i="14"/>
  <c r="G51" i="14"/>
  <c r="E51" i="14"/>
  <c r="D51" i="14"/>
  <c r="C51" i="14"/>
  <c r="B51" i="14"/>
  <c r="E39" i="14"/>
  <c r="D39" i="14"/>
  <c r="E32" i="14"/>
  <c r="D32" i="14"/>
  <c r="D31" i="14" s="1"/>
  <c r="E36" i="14"/>
  <c r="D36" i="14"/>
  <c r="E26" i="14"/>
  <c r="D26" i="14"/>
  <c r="E8" i="14"/>
  <c r="D8" i="14"/>
  <c r="D7" i="14" s="1"/>
  <c r="O211" i="10"/>
  <c r="O210" i="10" s="1"/>
  <c r="O207" i="10"/>
  <c r="O206" i="10" s="1"/>
  <c r="O205" i="10"/>
  <c r="O204" i="10"/>
  <c r="O202" i="10"/>
  <c r="O201" i="10"/>
  <c r="O200" i="10"/>
  <c r="O199" i="10"/>
  <c r="O198" i="10"/>
  <c r="O197" i="10"/>
  <c r="O194" i="10"/>
  <c r="O193" i="10" s="1"/>
  <c r="O183" i="10"/>
  <c r="O182" i="10"/>
  <c r="O181" i="10"/>
  <c r="O180" i="10"/>
  <c r="O174" i="10"/>
  <c r="O173" i="10"/>
  <c r="O172" i="10"/>
  <c r="O161" i="10"/>
  <c r="O160" i="10"/>
  <c r="O159" i="10"/>
  <c r="O152" i="10"/>
  <c r="O153" i="10"/>
  <c r="O151" i="10"/>
  <c r="O150" i="10"/>
  <c r="O149" i="10"/>
  <c r="O142" i="10"/>
  <c r="O141" i="10"/>
  <c r="O140" i="10"/>
  <c r="O139" i="10"/>
  <c r="O138" i="10"/>
  <c r="O137" i="10"/>
  <c r="O133" i="10"/>
  <c r="O132" i="10"/>
  <c r="O131" i="10"/>
  <c r="O113" i="10"/>
  <c r="O112" i="10" s="1"/>
  <c r="O111" i="10" s="1"/>
  <c r="O110" i="10"/>
  <c r="O109" i="10" s="1"/>
  <c r="O106" i="10"/>
  <c r="O105" i="10" s="1"/>
  <c r="O97" i="10"/>
  <c r="O96" i="10" s="1"/>
  <c r="O95" i="10" s="1"/>
  <c r="O76" i="10"/>
  <c r="O75" i="10"/>
  <c r="O66" i="10"/>
  <c r="O65" i="10"/>
  <c r="U43" i="2" s="1"/>
  <c r="O64" i="10"/>
  <c r="O61" i="10"/>
  <c r="O60" i="10" s="1"/>
  <c r="O58" i="10"/>
  <c r="U37" i="2" s="1"/>
  <c r="O57" i="10"/>
  <c r="U36" i="2" s="1"/>
  <c r="O54" i="10"/>
  <c r="U33" i="2" s="1"/>
  <c r="O53" i="10"/>
  <c r="U32" i="2" s="1"/>
  <c r="O52" i="10"/>
  <c r="O48" i="10"/>
  <c r="O47" i="10"/>
  <c r="O46" i="10"/>
  <c r="O45" i="10"/>
  <c r="O44" i="10"/>
  <c r="O43" i="10"/>
  <c r="O42" i="10"/>
  <c r="O41" i="10"/>
  <c r="O40" i="10"/>
  <c r="O38" i="10"/>
  <c r="O37" i="10"/>
  <c r="O35" i="10"/>
  <c r="O34" i="10" s="1"/>
  <c r="U26" i="2" s="1"/>
  <c r="O32" i="10"/>
  <c r="O28" i="10"/>
  <c r="U22" i="2" s="1"/>
  <c r="O27" i="10"/>
  <c r="U21" i="2" s="1"/>
  <c r="O26" i="10"/>
  <c r="O23" i="10"/>
  <c r="U19" i="2" s="1"/>
  <c r="O22" i="10"/>
  <c r="U18" i="2" s="1"/>
  <c r="O21" i="10"/>
  <c r="U17" i="2" s="1"/>
  <c r="O20" i="10"/>
  <c r="U16" i="2" s="1"/>
  <c r="O19" i="10"/>
  <c r="U15" i="2" s="1"/>
  <c r="O18" i="10"/>
  <c r="U14" i="2" s="1"/>
  <c r="O17" i="10"/>
  <c r="O15" i="10"/>
  <c r="U12" i="2" s="1"/>
  <c r="O14" i="10"/>
  <c r="O12" i="10"/>
  <c r="U10" i="2" s="1"/>
  <c r="O11" i="10"/>
  <c r="U9" i="2" s="1"/>
  <c r="O10" i="10"/>
  <c r="U8" i="2" s="1"/>
  <c r="O9" i="10"/>
  <c r="U7" i="2" s="1"/>
  <c r="O8" i="10"/>
  <c r="U6" i="2" s="1"/>
  <c r="Q66" i="10"/>
  <c r="N66" i="10"/>
  <c r="K66" i="10"/>
  <c r="J66" i="10"/>
  <c r="H66" i="10"/>
  <c r="G66" i="10"/>
  <c r="F66" i="10"/>
  <c r="E66" i="10"/>
  <c r="Q211" i="10"/>
  <c r="Q210" i="10" s="1"/>
  <c r="N211" i="10"/>
  <c r="N210" i="10" s="1"/>
  <c r="M210" i="10"/>
  <c r="L210" i="10"/>
  <c r="K211" i="10"/>
  <c r="K210" i="10" s="1"/>
  <c r="J211" i="10"/>
  <c r="J210" i="10" s="1"/>
  <c r="H211" i="10"/>
  <c r="H210" i="10" s="1"/>
  <c r="G211" i="10"/>
  <c r="G210" i="10" s="1"/>
  <c r="F211" i="10"/>
  <c r="F210" i="10" s="1"/>
  <c r="E211" i="10"/>
  <c r="E210" i="10" s="1"/>
  <c r="Q207" i="10"/>
  <c r="Q206" i="10" s="1"/>
  <c r="V55" i="2"/>
  <c r="N207" i="10"/>
  <c r="N206" i="10" s="1"/>
  <c r="M206" i="10"/>
  <c r="L206" i="10"/>
  <c r="K207" i="10"/>
  <c r="K206" i="10" s="1"/>
  <c r="J207" i="10"/>
  <c r="J206" i="10" s="1"/>
  <c r="H207" i="10"/>
  <c r="H206" i="10" s="1"/>
  <c r="G207" i="10"/>
  <c r="F207" i="10"/>
  <c r="F206" i="10" s="1"/>
  <c r="E207" i="10"/>
  <c r="E206" i="10" s="1"/>
  <c r="Q205" i="10"/>
  <c r="N205" i="10"/>
  <c r="K205" i="10"/>
  <c r="J205" i="10"/>
  <c r="H205" i="10"/>
  <c r="G205" i="10"/>
  <c r="F205" i="10"/>
  <c r="E205" i="10"/>
  <c r="Q204" i="10"/>
  <c r="N204" i="10"/>
  <c r="K204" i="10"/>
  <c r="J204" i="10"/>
  <c r="H204" i="10"/>
  <c r="G204" i="10"/>
  <c r="F204" i="10"/>
  <c r="E204" i="10"/>
  <c r="Q202" i="10"/>
  <c r="N202" i="10"/>
  <c r="K202" i="10"/>
  <c r="J202" i="10"/>
  <c r="H202" i="10"/>
  <c r="G202" i="10"/>
  <c r="F202" i="10"/>
  <c r="E202" i="10"/>
  <c r="Q201" i="10"/>
  <c r="N201" i="10"/>
  <c r="K201" i="10"/>
  <c r="J201" i="10"/>
  <c r="H201" i="10"/>
  <c r="G201" i="10"/>
  <c r="F201" i="10"/>
  <c r="E201" i="10"/>
  <c r="Q200" i="10"/>
  <c r="N200" i="10"/>
  <c r="K200" i="10"/>
  <c r="J200" i="10"/>
  <c r="H200" i="10"/>
  <c r="G200" i="10"/>
  <c r="F200" i="10"/>
  <c r="E200" i="10"/>
  <c r="Q199" i="10"/>
  <c r="N199" i="10"/>
  <c r="K199" i="10"/>
  <c r="J199" i="10"/>
  <c r="H199" i="10"/>
  <c r="G199" i="10"/>
  <c r="F199" i="10"/>
  <c r="E199" i="10"/>
  <c r="Q198" i="10"/>
  <c r="N198" i="10"/>
  <c r="K198" i="10"/>
  <c r="J198" i="10"/>
  <c r="H198" i="10"/>
  <c r="G198" i="10"/>
  <c r="F198" i="10"/>
  <c r="E198" i="10"/>
  <c r="Q197" i="10"/>
  <c r="N197" i="10"/>
  <c r="K197" i="10"/>
  <c r="J197" i="10"/>
  <c r="H197" i="10"/>
  <c r="G197" i="10"/>
  <c r="F197" i="10"/>
  <c r="E197" i="10"/>
  <c r="Q194" i="10"/>
  <c r="Q193" i="10" s="1"/>
  <c r="N194" i="10"/>
  <c r="N193" i="10" s="1"/>
  <c r="M193" i="10"/>
  <c r="L193" i="10"/>
  <c r="K194" i="10"/>
  <c r="K193" i="10" s="1"/>
  <c r="J194" i="10"/>
  <c r="J193" i="10" s="1"/>
  <c r="H194" i="10"/>
  <c r="H193" i="10" s="1"/>
  <c r="G194" i="10"/>
  <c r="G193" i="10" s="1"/>
  <c r="F194" i="10"/>
  <c r="F193" i="10" s="1"/>
  <c r="E194" i="10"/>
  <c r="E193" i="10" s="1"/>
  <c r="Q183" i="10"/>
  <c r="N183" i="10"/>
  <c r="K183" i="10"/>
  <c r="J183" i="10"/>
  <c r="H183" i="10"/>
  <c r="G183" i="10"/>
  <c r="F183" i="10"/>
  <c r="E183" i="10"/>
  <c r="Q182" i="10"/>
  <c r="N182" i="10"/>
  <c r="K182" i="10"/>
  <c r="J182" i="10"/>
  <c r="H182" i="10"/>
  <c r="G182" i="10"/>
  <c r="F182" i="10"/>
  <c r="E182" i="10"/>
  <c r="Q181" i="10"/>
  <c r="N181" i="10"/>
  <c r="K181" i="10"/>
  <c r="J181" i="10"/>
  <c r="H181" i="10"/>
  <c r="G181" i="10"/>
  <c r="F181" i="10"/>
  <c r="E181" i="10"/>
  <c r="Q180" i="10"/>
  <c r="N180" i="10"/>
  <c r="K180" i="10"/>
  <c r="J180" i="10"/>
  <c r="H180" i="10"/>
  <c r="G180" i="10"/>
  <c r="F180" i="10"/>
  <c r="E180" i="10"/>
  <c r="Q174" i="10"/>
  <c r="N174" i="10"/>
  <c r="K174" i="10"/>
  <c r="J174" i="10"/>
  <c r="F174" i="10"/>
  <c r="E174" i="10"/>
  <c r="Q173" i="10"/>
  <c r="N173" i="10"/>
  <c r="K173" i="10"/>
  <c r="J173" i="10"/>
  <c r="H173" i="10"/>
  <c r="G173" i="10"/>
  <c r="F173" i="10"/>
  <c r="E173" i="10"/>
  <c r="Q172" i="10"/>
  <c r="N172" i="10"/>
  <c r="K172" i="10"/>
  <c r="J172" i="10"/>
  <c r="H172" i="10"/>
  <c r="G172" i="10"/>
  <c r="F172" i="10"/>
  <c r="E172" i="10"/>
  <c r="Q161" i="10"/>
  <c r="N161" i="10"/>
  <c r="K161" i="10"/>
  <c r="J161" i="10"/>
  <c r="H161" i="10"/>
  <c r="G161" i="10"/>
  <c r="F161" i="10"/>
  <c r="E161" i="10"/>
  <c r="Q160" i="10"/>
  <c r="N160" i="10"/>
  <c r="K160" i="10"/>
  <c r="J160" i="10"/>
  <c r="H160" i="10"/>
  <c r="G160" i="10"/>
  <c r="F160" i="10"/>
  <c r="E160" i="10"/>
  <c r="Q159" i="10"/>
  <c r="N159" i="10"/>
  <c r="K159" i="10"/>
  <c r="J159" i="10"/>
  <c r="H159" i="10"/>
  <c r="G159" i="10"/>
  <c r="F159" i="10"/>
  <c r="E159" i="10"/>
  <c r="Q152" i="10"/>
  <c r="N152" i="10"/>
  <c r="K152" i="10"/>
  <c r="J152" i="10"/>
  <c r="H152" i="10"/>
  <c r="G152" i="10"/>
  <c r="F152" i="10"/>
  <c r="E152" i="10"/>
  <c r="Q153" i="10"/>
  <c r="N153" i="10"/>
  <c r="K153" i="10"/>
  <c r="J153" i="10"/>
  <c r="H153" i="10"/>
  <c r="G153" i="10"/>
  <c r="F153" i="10"/>
  <c r="E153" i="10"/>
  <c r="Q151" i="10"/>
  <c r="N151" i="10"/>
  <c r="K151" i="10"/>
  <c r="J151" i="10"/>
  <c r="H151" i="10"/>
  <c r="G151" i="10"/>
  <c r="F151" i="10"/>
  <c r="E151" i="10"/>
  <c r="Q150" i="10"/>
  <c r="N150" i="10"/>
  <c r="K150" i="10"/>
  <c r="J150" i="10"/>
  <c r="H150" i="10"/>
  <c r="G150" i="10"/>
  <c r="F150" i="10"/>
  <c r="E150" i="10"/>
  <c r="Q149" i="10"/>
  <c r="N149" i="10"/>
  <c r="K149" i="10"/>
  <c r="J149" i="10"/>
  <c r="H149" i="10"/>
  <c r="G149" i="10"/>
  <c r="F149" i="10"/>
  <c r="E149" i="10"/>
  <c r="Q142" i="10"/>
  <c r="N142" i="10"/>
  <c r="K142" i="10"/>
  <c r="J142" i="10"/>
  <c r="H142" i="10"/>
  <c r="G142" i="10"/>
  <c r="F142" i="10"/>
  <c r="E142" i="10"/>
  <c r="Q141" i="10"/>
  <c r="N141" i="10"/>
  <c r="K141" i="10"/>
  <c r="J141" i="10"/>
  <c r="H141" i="10"/>
  <c r="G141" i="10"/>
  <c r="F141" i="10"/>
  <c r="E141" i="10"/>
  <c r="Q140" i="10"/>
  <c r="N140" i="10"/>
  <c r="K140" i="10"/>
  <c r="J140" i="10"/>
  <c r="H140" i="10"/>
  <c r="G140" i="10"/>
  <c r="F140" i="10"/>
  <c r="E140" i="10"/>
  <c r="Q139" i="10"/>
  <c r="N139" i="10"/>
  <c r="K139" i="10"/>
  <c r="J139" i="10"/>
  <c r="H139" i="10"/>
  <c r="G139" i="10"/>
  <c r="F139" i="10"/>
  <c r="E139" i="10"/>
  <c r="Q138" i="10"/>
  <c r="N138" i="10"/>
  <c r="K138" i="10"/>
  <c r="J138" i="10"/>
  <c r="H138" i="10"/>
  <c r="G138" i="10"/>
  <c r="F138" i="10"/>
  <c r="E138" i="10"/>
  <c r="Q137" i="10"/>
  <c r="N137" i="10"/>
  <c r="K137" i="10"/>
  <c r="J137" i="10"/>
  <c r="H137" i="10"/>
  <c r="G137" i="10"/>
  <c r="F137" i="10"/>
  <c r="E137" i="10"/>
  <c r="Q133" i="10"/>
  <c r="N133" i="10"/>
  <c r="K133" i="10"/>
  <c r="J133" i="10"/>
  <c r="H133" i="10"/>
  <c r="G133" i="10"/>
  <c r="F133" i="10"/>
  <c r="E133" i="10"/>
  <c r="Q132" i="10"/>
  <c r="N132" i="10"/>
  <c r="K132" i="10"/>
  <c r="J132" i="10"/>
  <c r="H132" i="10"/>
  <c r="G132" i="10"/>
  <c r="F132" i="10"/>
  <c r="E132" i="10"/>
  <c r="Q131" i="10"/>
  <c r="N131" i="10"/>
  <c r="K131" i="10"/>
  <c r="J131" i="10"/>
  <c r="H131" i="10"/>
  <c r="G131" i="10"/>
  <c r="F131" i="10"/>
  <c r="E131" i="10"/>
  <c r="Q113" i="10"/>
  <c r="Q112" i="10" s="1"/>
  <c r="Q111" i="10" s="1"/>
  <c r="N113" i="10"/>
  <c r="N112" i="10" s="1"/>
  <c r="N111" i="10" s="1"/>
  <c r="M112" i="10"/>
  <c r="M111" i="10" s="1"/>
  <c r="L112" i="10"/>
  <c r="L111" i="10" s="1"/>
  <c r="K113" i="10"/>
  <c r="K112" i="10" s="1"/>
  <c r="K111" i="10" s="1"/>
  <c r="J113" i="10"/>
  <c r="J112" i="10" s="1"/>
  <c r="J111" i="10" s="1"/>
  <c r="H113" i="10"/>
  <c r="H112" i="10" s="1"/>
  <c r="H111" i="10" s="1"/>
  <c r="G113" i="10"/>
  <c r="G112" i="10" s="1"/>
  <c r="G111" i="10" s="1"/>
  <c r="F113" i="10"/>
  <c r="F112" i="10" s="1"/>
  <c r="F111" i="10" s="1"/>
  <c r="E113" i="10"/>
  <c r="E112" i="10" s="1"/>
  <c r="E111" i="10" s="1"/>
  <c r="Q110" i="10"/>
  <c r="Q109" i="10" s="1"/>
  <c r="N110" i="10"/>
  <c r="N109" i="10" s="1"/>
  <c r="M109" i="10"/>
  <c r="L109" i="10"/>
  <c r="K110" i="10"/>
  <c r="K109" i="10" s="1"/>
  <c r="J110" i="10"/>
  <c r="J109" i="10" s="1"/>
  <c r="H110" i="10"/>
  <c r="H109" i="10" s="1"/>
  <c r="G110" i="10"/>
  <c r="G109" i="10" s="1"/>
  <c r="F110" i="10"/>
  <c r="F109" i="10" s="1"/>
  <c r="E110" i="10"/>
  <c r="E109" i="10" s="1"/>
  <c r="Q106" i="10"/>
  <c r="Q105" i="10" s="1"/>
  <c r="N106" i="10"/>
  <c r="N105" i="10" s="1"/>
  <c r="M105" i="10"/>
  <c r="L105" i="10"/>
  <c r="K106" i="10"/>
  <c r="K105" i="10" s="1"/>
  <c r="J106" i="10"/>
  <c r="J105" i="10" s="1"/>
  <c r="H106" i="10"/>
  <c r="H105" i="10" s="1"/>
  <c r="G106" i="10"/>
  <c r="G105" i="10" s="1"/>
  <c r="F106" i="10"/>
  <c r="F105" i="10" s="1"/>
  <c r="E106" i="10"/>
  <c r="E105" i="10" s="1"/>
  <c r="Q97" i="10"/>
  <c r="Q96" i="10" s="1"/>
  <c r="Q95" i="10" s="1"/>
  <c r="N97" i="10"/>
  <c r="N96" i="10" s="1"/>
  <c r="N95" i="10" s="1"/>
  <c r="M96" i="10"/>
  <c r="L96" i="10"/>
  <c r="K97" i="10"/>
  <c r="K96" i="10" s="1"/>
  <c r="K95" i="10" s="1"/>
  <c r="J97" i="10"/>
  <c r="J96" i="10" s="1"/>
  <c r="H97" i="10"/>
  <c r="H96" i="10" s="1"/>
  <c r="H95" i="10" s="1"/>
  <c r="G97" i="10"/>
  <c r="G96" i="10" s="1"/>
  <c r="G95" i="10" s="1"/>
  <c r="F97" i="10"/>
  <c r="F96" i="10" s="1"/>
  <c r="F95" i="10" s="1"/>
  <c r="E97" i="10"/>
  <c r="E96" i="10" s="1"/>
  <c r="E95" i="10" s="1"/>
  <c r="Q76" i="10"/>
  <c r="N76" i="10"/>
  <c r="K76" i="10"/>
  <c r="J76" i="10"/>
  <c r="H76" i="10"/>
  <c r="G76" i="10"/>
  <c r="F76" i="10"/>
  <c r="E76" i="10"/>
  <c r="Q75" i="10"/>
  <c r="N75" i="10"/>
  <c r="K75" i="10"/>
  <c r="J75" i="10"/>
  <c r="H75" i="10"/>
  <c r="G75" i="10"/>
  <c r="F75" i="10"/>
  <c r="E75" i="10"/>
  <c r="Q65" i="10"/>
  <c r="W43" i="2" s="1"/>
  <c r="V43" i="2"/>
  <c r="N65" i="10"/>
  <c r="T43" i="2" s="1"/>
  <c r="P43" i="2"/>
  <c r="N43" i="2"/>
  <c r="I42" i="14" s="1"/>
  <c r="K42" i="14" s="1"/>
  <c r="K65" i="10"/>
  <c r="M43" i="2" s="1"/>
  <c r="J65" i="10"/>
  <c r="O43" i="2" s="1"/>
  <c r="H65" i="10"/>
  <c r="K43" i="2" s="1"/>
  <c r="G65" i="10"/>
  <c r="J43" i="2" s="1"/>
  <c r="F65" i="10"/>
  <c r="I43" i="2" s="1"/>
  <c r="E65" i="10"/>
  <c r="H43" i="2" s="1"/>
  <c r="Q64" i="10"/>
  <c r="N64" i="10"/>
  <c r="N63" i="10" s="1"/>
  <c r="P42" i="2"/>
  <c r="K64" i="10"/>
  <c r="J64" i="10"/>
  <c r="H64" i="10"/>
  <c r="H63" i="10" s="1"/>
  <c r="G64" i="10"/>
  <c r="J42" i="2" s="1"/>
  <c r="F64" i="10"/>
  <c r="E64" i="10"/>
  <c r="Q61" i="10"/>
  <c r="N61" i="10"/>
  <c r="N60" i="10" s="1"/>
  <c r="K61" i="10"/>
  <c r="J61" i="10"/>
  <c r="O40" i="2" s="1"/>
  <c r="O39" i="2" s="1"/>
  <c r="H61" i="10"/>
  <c r="K40" i="2" s="1"/>
  <c r="K39" i="2" s="1"/>
  <c r="G61" i="10"/>
  <c r="G60" i="10" s="1"/>
  <c r="F61" i="10"/>
  <c r="E61" i="10"/>
  <c r="Q58" i="10"/>
  <c r="W37" i="2" s="1"/>
  <c r="V37" i="2"/>
  <c r="N58" i="10"/>
  <c r="T37" i="2" s="1"/>
  <c r="K58" i="10"/>
  <c r="M37" i="2" s="1"/>
  <c r="J58" i="10"/>
  <c r="O37" i="2" s="1"/>
  <c r="H58" i="10"/>
  <c r="G58" i="10"/>
  <c r="J37" i="2" s="1"/>
  <c r="F58" i="10"/>
  <c r="I37" i="2" s="1"/>
  <c r="E58" i="10"/>
  <c r="H37" i="2" s="1"/>
  <c r="Q57" i="10"/>
  <c r="N57" i="10"/>
  <c r="K57" i="10"/>
  <c r="J57" i="10"/>
  <c r="H57" i="10"/>
  <c r="G57" i="10"/>
  <c r="F57" i="10"/>
  <c r="E57" i="10"/>
  <c r="H36" i="2" s="1"/>
  <c r="Q54" i="10"/>
  <c r="W33" i="2" s="1"/>
  <c r="V33" i="2"/>
  <c r="N54" i="10"/>
  <c r="T33" i="2" s="1"/>
  <c r="P33" i="2"/>
  <c r="K54" i="10"/>
  <c r="M33" i="2" s="1"/>
  <c r="J54" i="10"/>
  <c r="O33" i="2" s="1"/>
  <c r="H54" i="10"/>
  <c r="K33" i="2" s="1"/>
  <c r="G54" i="10"/>
  <c r="J33" i="2" s="1"/>
  <c r="F54" i="10"/>
  <c r="I33" i="2" s="1"/>
  <c r="E54" i="10"/>
  <c r="H33" i="2" s="1"/>
  <c r="Q53" i="10"/>
  <c r="W32" i="2" s="1"/>
  <c r="V32" i="2"/>
  <c r="N53" i="10"/>
  <c r="T32" i="2" s="1"/>
  <c r="P32" i="2"/>
  <c r="N32" i="2"/>
  <c r="I34" i="14" s="1"/>
  <c r="K34" i="14" s="1"/>
  <c r="K53" i="10"/>
  <c r="M32" i="2" s="1"/>
  <c r="J53" i="10"/>
  <c r="O32" i="2" s="1"/>
  <c r="H53" i="10"/>
  <c r="K32" i="2" s="1"/>
  <c r="G53" i="10"/>
  <c r="F53" i="10"/>
  <c r="I32" i="2" s="1"/>
  <c r="E53" i="10"/>
  <c r="H32" i="2" s="1"/>
  <c r="Q52" i="10"/>
  <c r="N52" i="10"/>
  <c r="N31" i="2"/>
  <c r="I33" i="14" s="1"/>
  <c r="K33" i="14" s="1"/>
  <c r="K52" i="10"/>
  <c r="J52" i="10"/>
  <c r="H52" i="10"/>
  <c r="G52" i="10"/>
  <c r="F52" i="10"/>
  <c r="E52" i="10"/>
  <c r="Q48" i="10"/>
  <c r="N48" i="10"/>
  <c r="K48" i="10"/>
  <c r="J48" i="10"/>
  <c r="H48" i="10"/>
  <c r="G48" i="10"/>
  <c r="F48" i="10"/>
  <c r="E48" i="10"/>
  <c r="Q47" i="10"/>
  <c r="N47" i="10"/>
  <c r="K47" i="10"/>
  <c r="J47" i="10"/>
  <c r="H47" i="10"/>
  <c r="G47" i="10"/>
  <c r="F47" i="10"/>
  <c r="E47" i="10"/>
  <c r="Q46" i="10"/>
  <c r="N46" i="10"/>
  <c r="K46" i="10"/>
  <c r="J46" i="10"/>
  <c r="H46" i="10"/>
  <c r="G46" i="10"/>
  <c r="F46" i="10"/>
  <c r="E46" i="10"/>
  <c r="Q45" i="10"/>
  <c r="N45" i="10"/>
  <c r="K45" i="10"/>
  <c r="J45" i="10"/>
  <c r="H45" i="10"/>
  <c r="G45" i="10"/>
  <c r="F45" i="10"/>
  <c r="E45" i="10"/>
  <c r="Q44" i="10"/>
  <c r="N44" i="10"/>
  <c r="K44" i="10"/>
  <c r="J44" i="10"/>
  <c r="H44" i="10"/>
  <c r="G44" i="10"/>
  <c r="F44" i="10"/>
  <c r="E44" i="10"/>
  <c r="Q43" i="10"/>
  <c r="N43" i="10"/>
  <c r="K43" i="10"/>
  <c r="J43" i="10"/>
  <c r="H43" i="10"/>
  <c r="G43" i="10"/>
  <c r="F43" i="10"/>
  <c r="E43" i="10"/>
  <c r="Q42" i="10"/>
  <c r="N42" i="10"/>
  <c r="N4" i="13"/>
  <c r="N3" i="13" s="1"/>
  <c r="K42" i="10"/>
  <c r="M4" i="13" s="1"/>
  <c r="M3" i="13" s="1"/>
  <c r="J42" i="10"/>
  <c r="H42" i="10"/>
  <c r="G42" i="10"/>
  <c r="F42" i="10"/>
  <c r="E42" i="10"/>
  <c r="Q41" i="10"/>
  <c r="N41" i="10"/>
  <c r="K41" i="10"/>
  <c r="J41" i="10"/>
  <c r="H41" i="10"/>
  <c r="G41" i="10"/>
  <c r="F41" i="10"/>
  <c r="E41" i="10"/>
  <c r="Q40" i="10"/>
  <c r="N40" i="10"/>
  <c r="K40" i="10"/>
  <c r="J40" i="10"/>
  <c r="H40" i="10"/>
  <c r="G40" i="10"/>
  <c r="F40" i="10"/>
  <c r="E40" i="10"/>
  <c r="Q38" i="10"/>
  <c r="N38" i="10"/>
  <c r="K38" i="10"/>
  <c r="J38" i="10"/>
  <c r="H38" i="10"/>
  <c r="G38" i="10"/>
  <c r="F38" i="10"/>
  <c r="E38" i="10"/>
  <c r="Q37" i="10"/>
  <c r="N37" i="10"/>
  <c r="K37" i="10"/>
  <c r="J37" i="10"/>
  <c r="H37" i="10"/>
  <c r="G37" i="10"/>
  <c r="F37" i="10"/>
  <c r="E37" i="10"/>
  <c r="Q35" i="10"/>
  <c r="Q34" i="10" s="1"/>
  <c r="W26" i="2" s="1"/>
  <c r="P34" i="10"/>
  <c r="N35" i="10"/>
  <c r="N34" i="10" s="1"/>
  <c r="M34" i="10"/>
  <c r="P26" i="2" s="1"/>
  <c r="L34" i="10"/>
  <c r="N26" i="2" s="1"/>
  <c r="I28" i="14" s="1"/>
  <c r="K28" i="14" s="1"/>
  <c r="K35" i="10"/>
  <c r="K34" i="10" s="1"/>
  <c r="M26" i="2" s="1"/>
  <c r="J35" i="10"/>
  <c r="J34" i="10" s="1"/>
  <c r="O26" i="2" s="1"/>
  <c r="H35" i="10"/>
  <c r="H34" i="10" s="1"/>
  <c r="G35" i="10"/>
  <c r="G34" i="10" s="1"/>
  <c r="J26" i="2" s="1"/>
  <c r="F35" i="10"/>
  <c r="F34" i="10" s="1"/>
  <c r="I26" i="2" s="1"/>
  <c r="E35" i="10"/>
  <c r="E34" i="10" s="1"/>
  <c r="Q32" i="10"/>
  <c r="N32" i="10"/>
  <c r="N31" i="10" s="1"/>
  <c r="K32" i="10"/>
  <c r="M25" i="2" s="1"/>
  <c r="J32" i="10"/>
  <c r="H32" i="10"/>
  <c r="G32" i="10"/>
  <c r="G31" i="10" s="1"/>
  <c r="F32" i="10"/>
  <c r="E32" i="10"/>
  <c r="Q28" i="10"/>
  <c r="W22" i="2" s="1"/>
  <c r="V22" i="2"/>
  <c r="N28" i="10"/>
  <c r="T22" i="2" s="1"/>
  <c r="P22" i="2"/>
  <c r="K28" i="10"/>
  <c r="M22" i="2" s="1"/>
  <c r="J28" i="10"/>
  <c r="O22" i="2" s="1"/>
  <c r="H28" i="10"/>
  <c r="K22" i="2" s="1"/>
  <c r="G28" i="10"/>
  <c r="J22" i="2" s="1"/>
  <c r="F28" i="10"/>
  <c r="I22" i="2" s="1"/>
  <c r="E28" i="10"/>
  <c r="H22" i="2" s="1"/>
  <c r="Q27" i="10"/>
  <c r="W21" i="2" s="1"/>
  <c r="V21" i="2"/>
  <c r="N27" i="10"/>
  <c r="T21" i="2" s="1"/>
  <c r="P21" i="2"/>
  <c r="N21" i="2"/>
  <c r="I24" i="14" s="1"/>
  <c r="K24" i="14" s="1"/>
  <c r="K27" i="10"/>
  <c r="M21" i="2" s="1"/>
  <c r="J27" i="10"/>
  <c r="O21" i="2" s="1"/>
  <c r="H27" i="10"/>
  <c r="K21" i="2" s="1"/>
  <c r="G27" i="10"/>
  <c r="F27" i="10"/>
  <c r="I21" i="2" s="1"/>
  <c r="E27" i="10"/>
  <c r="H21" i="2" s="1"/>
  <c r="Q26" i="10"/>
  <c r="V20" i="2"/>
  <c r="N26" i="10"/>
  <c r="K26" i="10"/>
  <c r="J26" i="10"/>
  <c r="H26" i="10"/>
  <c r="G26" i="10"/>
  <c r="F26" i="10"/>
  <c r="E26" i="10"/>
  <c r="Q23" i="10"/>
  <c r="W19" i="2" s="1"/>
  <c r="V19" i="2"/>
  <c r="N23" i="10"/>
  <c r="T19" i="2" s="1"/>
  <c r="P19" i="2"/>
  <c r="K23" i="10"/>
  <c r="M19" i="2" s="1"/>
  <c r="J23" i="10"/>
  <c r="O19" i="2" s="1"/>
  <c r="H23" i="10"/>
  <c r="K19" i="2" s="1"/>
  <c r="G23" i="10"/>
  <c r="J19" i="2" s="1"/>
  <c r="F23" i="10"/>
  <c r="I19" i="2" s="1"/>
  <c r="E23" i="10"/>
  <c r="H19" i="2" s="1"/>
  <c r="Q22" i="10"/>
  <c r="W18" i="2" s="1"/>
  <c r="V18" i="2"/>
  <c r="N22" i="10"/>
  <c r="T18" i="2" s="1"/>
  <c r="P18" i="2"/>
  <c r="N18" i="2"/>
  <c r="I21" i="14" s="1"/>
  <c r="K21" i="14" s="1"/>
  <c r="K22" i="10"/>
  <c r="M18" i="2" s="1"/>
  <c r="J22" i="10"/>
  <c r="O18" i="2" s="1"/>
  <c r="H22" i="10"/>
  <c r="K18" i="2" s="1"/>
  <c r="G22" i="10"/>
  <c r="J18" i="2" s="1"/>
  <c r="F22" i="10"/>
  <c r="I18" i="2" s="1"/>
  <c r="E22" i="10"/>
  <c r="H18" i="2" s="1"/>
  <c r="Q21" i="10"/>
  <c r="W17" i="2" s="1"/>
  <c r="V17" i="2"/>
  <c r="N21" i="10"/>
  <c r="T17" i="2" s="1"/>
  <c r="P17" i="2"/>
  <c r="N17" i="2"/>
  <c r="I20" i="14" s="1"/>
  <c r="K20" i="14" s="1"/>
  <c r="K21" i="10"/>
  <c r="J21" i="10"/>
  <c r="O17" i="2" s="1"/>
  <c r="H21" i="10"/>
  <c r="K17" i="2" s="1"/>
  <c r="G21" i="10"/>
  <c r="J17" i="2" s="1"/>
  <c r="F21" i="10"/>
  <c r="I17" i="2" s="1"/>
  <c r="E21" i="10"/>
  <c r="Q20" i="10"/>
  <c r="W16" i="2" s="1"/>
  <c r="V16" i="2"/>
  <c r="N20" i="10"/>
  <c r="T16" i="2" s="1"/>
  <c r="P16" i="2"/>
  <c r="N16" i="2"/>
  <c r="I19" i="14" s="1"/>
  <c r="K19" i="14" s="1"/>
  <c r="K20" i="10"/>
  <c r="M16" i="2" s="1"/>
  <c r="J20" i="10"/>
  <c r="O16" i="2" s="1"/>
  <c r="H20" i="10"/>
  <c r="K16" i="2" s="1"/>
  <c r="G20" i="10"/>
  <c r="J16" i="2" s="1"/>
  <c r="F20" i="10"/>
  <c r="I16" i="2" s="1"/>
  <c r="E20" i="10"/>
  <c r="H16" i="2" s="1"/>
  <c r="Q19" i="10"/>
  <c r="W15" i="2" s="1"/>
  <c r="V15" i="2"/>
  <c r="N19" i="10"/>
  <c r="T15" i="2" s="1"/>
  <c r="K19" i="10"/>
  <c r="M15" i="2" s="1"/>
  <c r="J19" i="10"/>
  <c r="O15" i="2" s="1"/>
  <c r="H19" i="10"/>
  <c r="K15" i="2" s="1"/>
  <c r="G19" i="10"/>
  <c r="J15" i="2" s="1"/>
  <c r="F19" i="10"/>
  <c r="I15" i="2" s="1"/>
  <c r="E19" i="10"/>
  <c r="H15" i="2" s="1"/>
  <c r="Q18" i="10"/>
  <c r="W14" i="2" s="1"/>
  <c r="V14" i="2"/>
  <c r="N18" i="10"/>
  <c r="T14" i="2" s="1"/>
  <c r="P14" i="2"/>
  <c r="K18" i="10"/>
  <c r="M14" i="2" s="1"/>
  <c r="J18" i="10"/>
  <c r="O14" i="2" s="1"/>
  <c r="H18" i="10"/>
  <c r="K14" i="2" s="1"/>
  <c r="G18" i="10"/>
  <c r="J14" i="2" s="1"/>
  <c r="F18" i="10"/>
  <c r="I14" i="2" s="1"/>
  <c r="E18" i="10"/>
  <c r="H14" i="2" s="1"/>
  <c r="Q17" i="10"/>
  <c r="N17" i="10"/>
  <c r="K17" i="10"/>
  <c r="J17" i="10"/>
  <c r="H17" i="10"/>
  <c r="G17" i="10"/>
  <c r="F17" i="10"/>
  <c r="I13" i="2" s="1"/>
  <c r="E17" i="10"/>
  <c r="Q15" i="10"/>
  <c r="W12" i="2" s="1"/>
  <c r="V12" i="2"/>
  <c r="N15" i="10"/>
  <c r="K15" i="10"/>
  <c r="M12" i="2" s="1"/>
  <c r="J15" i="10"/>
  <c r="O12" i="2" s="1"/>
  <c r="H15" i="10"/>
  <c r="K12" i="2" s="1"/>
  <c r="G15" i="10"/>
  <c r="J12" i="2" s="1"/>
  <c r="F15" i="10"/>
  <c r="I12" i="2" s="1"/>
  <c r="E15" i="10"/>
  <c r="H12" i="2" s="1"/>
  <c r="Q14" i="10"/>
  <c r="N14" i="10"/>
  <c r="K14" i="10"/>
  <c r="J14" i="10"/>
  <c r="H14" i="10"/>
  <c r="G14" i="10"/>
  <c r="F14" i="10"/>
  <c r="E14" i="10"/>
  <c r="Q12" i="10"/>
  <c r="W10" i="2" s="1"/>
  <c r="V10" i="2"/>
  <c r="N12" i="10"/>
  <c r="T10" i="2" s="1"/>
  <c r="P10" i="2"/>
  <c r="K12" i="10"/>
  <c r="M10" i="2" s="1"/>
  <c r="J12" i="10"/>
  <c r="O10" i="2" s="1"/>
  <c r="H12" i="10"/>
  <c r="K10" i="2" s="1"/>
  <c r="G12" i="10"/>
  <c r="J10" i="2" s="1"/>
  <c r="F12" i="10"/>
  <c r="I10" i="2" s="1"/>
  <c r="E12" i="10"/>
  <c r="H10" i="2" s="1"/>
  <c r="Q11" i="10"/>
  <c r="W9" i="2" s="1"/>
  <c r="V9" i="2"/>
  <c r="N11" i="10"/>
  <c r="T9" i="2" s="1"/>
  <c r="K11" i="10"/>
  <c r="M9" i="2" s="1"/>
  <c r="J11" i="10"/>
  <c r="H11" i="10"/>
  <c r="K9" i="2" s="1"/>
  <c r="G11" i="10"/>
  <c r="F11" i="10"/>
  <c r="I9" i="2" s="1"/>
  <c r="E11" i="10"/>
  <c r="H9" i="2" s="1"/>
  <c r="Q10" i="10"/>
  <c r="W8" i="2" s="1"/>
  <c r="V8" i="2"/>
  <c r="N10" i="10"/>
  <c r="T8" i="2" s="1"/>
  <c r="P8" i="2"/>
  <c r="K10" i="10"/>
  <c r="M8" i="2" s="1"/>
  <c r="J10" i="10"/>
  <c r="O8" i="2" s="1"/>
  <c r="H10" i="10"/>
  <c r="K8" i="2" s="1"/>
  <c r="G10" i="10"/>
  <c r="J8" i="2" s="1"/>
  <c r="F10" i="10"/>
  <c r="I8" i="2" s="1"/>
  <c r="E10" i="10"/>
  <c r="H8" i="2" s="1"/>
  <c r="Q9" i="10"/>
  <c r="W7" i="2" s="1"/>
  <c r="V7" i="2"/>
  <c r="N9" i="10"/>
  <c r="T7" i="2" s="1"/>
  <c r="P7" i="2"/>
  <c r="K9" i="10"/>
  <c r="M7" i="2" s="1"/>
  <c r="J9" i="10"/>
  <c r="O7" i="2" s="1"/>
  <c r="H9" i="10"/>
  <c r="K7" i="2" s="1"/>
  <c r="G9" i="10"/>
  <c r="J7" i="2" s="1"/>
  <c r="F9" i="10"/>
  <c r="I7" i="2" s="1"/>
  <c r="E9" i="10"/>
  <c r="H7" i="2" s="1"/>
  <c r="Q8" i="10"/>
  <c r="W6" i="2" s="1"/>
  <c r="V6" i="2"/>
  <c r="N8" i="10"/>
  <c r="T6" i="2" s="1"/>
  <c r="N6" i="2"/>
  <c r="I9" i="14" s="1"/>
  <c r="K9" i="14" s="1"/>
  <c r="M6" i="2"/>
  <c r="J8" i="10"/>
  <c r="O6" i="2" s="1"/>
  <c r="H8" i="10"/>
  <c r="K6" i="2" s="1"/>
  <c r="G8" i="10"/>
  <c r="J6" i="2" s="1"/>
  <c r="F8" i="10"/>
  <c r="I6" i="2" s="1"/>
  <c r="E8" i="10"/>
  <c r="H6" i="2" s="1"/>
  <c r="D211" i="10"/>
  <c r="D210" i="10" s="1"/>
  <c r="D207" i="10"/>
  <c r="D206" i="10" s="1"/>
  <c r="D205" i="10"/>
  <c r="D204" i="10"/>
  <c r="D202" i="10"/>
  <c r="D201" i="10"/>
  <c r="D200" i="10"/>
  <c r="D199" i="10"/>
  <c r="D198" i="10"/>
  <c r="D197" i="10"/>
  <c r="D194" i="10"/>
  <c r="D193" i="10" s="1"/>
  <c r="D183" i="10"/>
  <c r="D182" i="10"/>
  <c r="D181" i="10"/>
  <c r="D180" i="10"/>
  <c r="D174" i="10"/>
  <c r="D173" i="10"/>
  <c r="D172" i="10"/>
  <c r="D161" i="10"/>
  <c r="D160" i="10"/>
  <c r="D159" i="10"/>
  <c r="D152" i="10"/>
  <c r="D153" i="10"/>
  <c r="D151" i="10"/>
  <c r="D150" i="10"/>
  <c r="D149" i="10"/>
  <c r="D142" i="10"/>
  <c r="D141" i="10"/>
  <c r="D140" i="10"/>
  <c r="D139" i="10"/>
  <c r="D138" i="10"/>
  <c r="D137" i="10"/>
  <c r="D133" i="10"/>
  <c r="D132" i="10"/>
  <c r="D131" i="10"/>
  <c r="D113" i="10"/>
  <c r="D112" i="10" s="1"/>
  <c r="D111" i="10" s="1"/>
  <c r="D110" i="10"/>
  <c r="D109" i="10" s="1"/>
  <c r="D106" i="10"/>
  <c r="D105" i="10" s="1"/>
  <c r="D97" i="10"/>
  <c r="D96" i="10" s="1"/>
  <c r="D95" i="10" s="1"/>
  <c r="D66" i="10"/>
  <c r="D76" i="10"/>
  <c r="D75" i="10"/>
  <c r="D65" i="10"/>
  <c r="G43" i="2" s="1"/>
  <c r="G42" i="14" s="1"/>
  <c r="D64" i="10"/>
  <c r="D61" i="10"/>
  <c r="D58" i="10"/>
  <c r="G37" i="2" s="1"/>
  <c r="G38" i="14" s="1"/>
  <c r="D57" i="10"/>
  <c r="D54" i="10"/>
  <c r="G33" i="2" s="1"/>
  <c r="G35" i="14" s="1"/>
  <c r="D53" i="10"/>
  <c r="G32" i="2" s="1"/>
  <c r="G34" i="14" s="1"/>
  <c r="D52" i="10"/>
  <c r="D48" i="10"/>
  <c r="D47" i="10"/>
  <c r="D46" i="10"/>
  <c r="D45" i="10"/>
  <c r="D44" i="10"/>
  <c r="D43" i="10"/>
  <c r="D42" i="10"/>
  <c r="G4" i="13" s="1"/>
  <c r="L4" i="13" s="1"/>
  <c r="D41" i="10"/>
  <c r="D40" i="10"/>
  <c r="D38" i="10"/>
  <c r="D37" i="10"/>
  <c r="D35" i="10"/>
  <c r="D34" i="10" s="1"/>
  <c r="G26" i="2" s="1"/>
  <c r="G28" i="14" s="1"/>
  <c r="D32" i="10"/>
  <c r="D28" i="10"/>
  <c r="G22" i="2" s="1"/>
  <c r="G25" i="14" s="1"/>
  <c r="D27" i="10"/>
  <c r="G21" i="2" s="1"/>
  <c r="G24" i="14" s="1"/>
  <c r="D26" i="10"/>
  <c r="D23" i="10"/>
  <c r="G19" i="2" s="1"/>
  <c r="G22" i="14" s="1"/>
  <c r="D22" i="10"/>
  <c r="G18" i="2" s="1"/>
  <c r="G21" i="14" s="1"/>
  <c r="D21" i="10"/>
  <c r="G17" i="2" s="1"/>
  <c r="G20" i="14" s="1"/>
  <c r="D20" i="10"/>
  <c r="G16" i="2" s="1"/>
  <c r="G19" i="14" s="1"/>
  <c r="D19" i="10"/>
  <c r="G15" i="2" s="1"/>
  <c r="G18" i="14" s="1"/>
  <c r="D18" i="10"/>
  <c r="G14" i="2" s="1"/>
  <c r="G17" i="14" s="1"/>
  <c r="D17" i="10"/>
  <c r="G13" i="2" s="1"/>
  <c r="G16" i="14" s="1"/>
  <c r="D15" i="10"/>
  <c r="G12" i="2" s="1"/>
  <c r="G15" i="14" s="1"/>
  <c r="D14" i="10"/>
  <c r="G11" i="2" s="1"/>
  <c r="G14" i="14" s="1"/>
  <c r="D12" i="10"/>
  <c r="G10" i="2" s="1"/>
  <c r="G13" i="14" s="1"/>
  <c r="D11" i="10"/>
  <c r="G9" i="2" s="1"/>
  <c r="D10" i="10"/>
  <c r="G8" i="2" s="1"/>
  <c r="G11" i="14" s="1"/>
  <c r="D9" i="10"/>
  <c r="G7" i="2" s="1"/>
  <c r="G10" i="14" s="1"/>
  <c r="D8" i="10"/>
  <c r="K7" i="4"/>
  <c r="R7" i="4" s="1"/>
  <c r="K6" i="4"/>
  <c r="R6" i="4" s="1"/>
  <c r="K5" i="4"/>
  <c r="R5" i="4" s="1"/>
  <c r="K4" i="4"/>
  <c r="Q4" i="4" s="1"/>
  <c r="K5" i="13"/>
  <c r="J5" i="13"/>
  <c r="I5" i="13"/>
  <c r="H5" i="13"/>
  <c r="K3" i="13"/>
  <c r="J3" i="13"/>
  <c r="I3" i="13"/>
  <c r="H3" i="13"/>
  <c r="P74" i="10"/>
  <c r="P73" i="10" s="1"/>
  <c r="F195" i="10" l="1"/>
  <c r="H136" i="10"/>
  <c r="Q195" i="10"/>
  <c r="J195" i="10"/>
  <c r="F136" i="10"/>
  <c r="I50" i="2" s="1"/>
  <c r="Q136" i="10"/>
  <c r="W50" i="2" s="1"/>
  <c r="K195" i="10"/>
  <c r="J136" i="10"/>
  <c r="G136" i="10"/>
  <c r="E195" i="10"/>
  <c r="N195" i="10"/>
  <c r="T82" i="2" s="1"/>
  <c r="O195" i="10"/>
  <c r="U82" i="2" s="1"/>
  <c r="G195" i="10"/>
  <c r="D195" i="10"/>
  <c r="K136" i="10"/>
  <c r="M50" i="2" s="1"/>
  <c r="G4" i="11" s="1"/>
  <c r="H195" i="10"/>
  <c r="O136" i="10"/>
  <c r="U50" i="2" s="1"/>
  <c r="E130" i="10"/>
  <c r="E136" i="10"/>
  <c r="H50" i="2" s="1"/>
  <c r="N136" i="10"/>
  <c r="D136" i="10"/>
  <c r="F28" i="17"/>
  <c r="H28" i="17"/>
  <c r="F169" i="10"/>
  <c r="Q169" i="10"/>
  <c r="G30" i="17"/>
  <c r="E169" i="10"/>
  <c r="N169" i="10"/>
  <c r="G28" i="17"/>
  <c r="G169" i="10"/>
  <c r="H169" i="10"/>
  <c r="L95" i="10"/>
  <c r="F29" i="17"/>
  <c r="J169" i="10"/>
  <c r="D169" i="10"/>
  <c r="M95" i="10"/>
  <c r="M88" i="10" s="1"/>
  <c r="M87" i="10" s="1"/>
  <c r="H29" i="17"/>
  <c r="K169" i="10"/>
  <c r="J95" i="10"/>
  <c r="J88" i="10" s="1"/>
  <c r="J87" i="10" s="1"/>
  <c r="G29" i="17"/>
  <c r="F30" i="17"/>
  <c r="H30" i="17"/>
  <c r="O169" i="10"/>
  <c r="N88" i="10"/>
  <c r="N87" i="10" s="1"/>
  <c r="F88" i="10"/>
  <c r="F87" i="10" s="1"/>
  <c r="K88" i="10"/>
  <c r="K87" i="10" s="1"/>
  <c r="Q88" i="10"/>
  <c r="Q87" i="10" s="1"/>
  <c r="E88" i="10"/>
  <c r="E87" i="10" s="1"/>
  <c r="G88" i="10"/>
  <c r="G87" i="10" s="1"/>
  <c r="L88" i="10"/>
  <c r="L87" i="10" s="1"/>
  <c r="O88" i="10"/>
  <c r="O87" i="10" s="1"/>
  <c r="D88" i="10"/>
  <c r="D87" i="10" s="1"/>
  <c r="H88" i="10"/>
  <c r="H87" i="10" s="1"/>
  <c r="H2" i="13"/>
  <c r="G6" i="2"/>
  <c r="G9" i="14" s="1"/>
  <c r="P6" i="2"/>
  <c r="Z6" i="2" s="1"/>
  <c r="K82" i="2"/>
  <c r="M203" i="10"/>
  <c r="F179" i="10"/>
  <c r="K179" i="10"/>
  <c r="Q179" i="10"/>
  <c r="H203" i="10"/>
  <c r="K83" i="2" s="1"/>
  <c r="D158" i="10"/>
  <c r="G57" i="2" s="1"/>
  <c r="F104" i="10"/>
  <c r="F103" i="10" s="1"/>
  <c r="F102" i="10" s="1"/>
  <c r="F101" i="10" s="1"/>
  <c r="F100" i="10" s="1"/>
  <c r="K104" i="10"/>
  <c r="K103" i="10" s="1"/>
  <c r="K102" i="10" s="1"/>
  <c r="K101" i="10" s="1"/>
  <c r="K100" i="10" s="1"/>
  <c r="Q104" i="10"/>
  <c r="Q103" i="10" s="1"/>
  <c r="Q102" i="10" s="1"/>
  <c r="Q101" i="10" s="1"/>
  <c r="Q100" i="10" s="1"/>
  <c r="H130" i="10"/>
  <c r="M130" i="10"/>
  <c r="F148" i="10"/>
  <c r="K148" i="10"/>
  <c r="Q148" i="10"/>
  <c r="H158" i="10"/>
  <c r="K57" i="2" s="1"/>
  <c r="M158" i="10"/>
  <c r="O203" i="10"/>
  <c r="U83" i="2" s="1"/>
  <c r="D203" i="10"/>
  <c r="G83" i="2" s="1"/>
  <c r="G104" i="10"/>
  <c r="G103" i="10" s="1"/>
  <c r="G102" i="10" s="1"/>
  <c r="G101" i="10" s="1"/>
  <c r="G100" i="10" s="1"/>
  <c r="L104" i="10"/>
  <c r="L103" i="10" s="1"/>
  <c r="L102" i="10" s="1"/>
  <c r="L101" i="10" s="1"/>
  <c r="L100" i="10" s="1"/>
  <c r="J104" i="10"/>
  <c r="J103" i="10" s="1"/>
  <c r="J102" i="10" s="1"/>
  <c r="J101" i="10" s="1"/>
  <c r="J100" i="10" s="1"/>
  <c r="J130" i="10"/>
  <c r="N130" i="10"/>
  <c r="J50" i="2"/>
  <c r="G148" i="10"/>
  <c r="L148" i="10"/>
  <c r="E158" i="10"/>
  <c r="H57" i="2" s="1"/>
  <c r="J158" i="10"/>
  <c r="N158" i="10"/>
  <c r="T57" i="2" s="1"/>
  <c r="G179" i="10"/>
  <c r="L179" i="10"/>
  <c r="F26" i="17" s="1"/>
  <c r="H82" i="2"/>
  <c r="E203" i="10"/>
  <c r="H83" i="2" s="1"/>
  <c r="J203" i="10"/>
  <c r="O83" i="2" s="1"/>
  <c r="J21" i="11" s="1"/>
  <c r="N203" i="10"/>
  <c r="T83" i="2" s="1"/>
  <c r="O130" i="10"/>
  <c r="O104" i="10"/>
  <c r="O103" i="10" s="1"/>
  <c r="O102" i="10" s="1"/>
  <c r="O101" i="10" s="1"/>
  <c r="O100" i="10" s="1"/>
  <c r="D130" i="10"/>
  <c r="D104" i="10"/>
  <c r="D103" i="10" s="1"/>
  <c r="D102" i="10" s="1"/>
  <c r="D101" i="10" s="1"/>
  <c r="D100" i="10" s="1"/>
  <c r="D148" i="10"/>
  <c r="G82" i="2"/>
  <c r="E104" i="10"/>
  <c r="E103" i="10" s="1"/>
  <c r="E102" i="10" s="1"/>
  <c r="E101" i="10" s="1"/>
  <c r="E100" i="10" s="1"/>
  <c r="N104" i="10"/>
  <c r="N103" i="10" s="1"/>
  <c r="N102" i="10" s="1"/>
  <c r="N101" i="10" s="1"/>
  <c r="N100" i="10" s="1"/>
  <c r="G130" i="10"/>
  <c r="L130" i="10"/>
  <c r="T50" i="2"/>
  <c r="E148" i="10"/>
  <c r="J148" i="10"/>
  <c r="N148" i="10"/>
  <c r="G158" i="10"/>
  <c r="J57" i="2" s="1"/>
  <c r="L158" i="10"/>
  <c r="E179" i="10"/>
  <c r="J179" i="10"/>
  <c r="G26" i="17" s="1"/>
  <c r="N179" i="10"/>
  <c r="J82" i="2"/>
  <c r="G203" i="10"/>
  <c r="J83" i="2" s="1"/>
  <c r="L203" i="10"/>
  <c r="N83" i="2" s="1"/>
  <c r="I21" i="11" s="1"/>
  <c r="G206" i="10"/>
  <c r="J55" i="2" s="1"/>
  <c r="O158" i="10"/>
  <c r="U57" i="2" s="1"/>
  <c r="O179" i="10"/>
  <c r="D179" i="10"/>
  <c r="H104" i="10"/>
  <c r="H103" i="10" s="1"/>
  <c r="H102" i="10" s="1"/>
  <c r="H101" i="10" s="1"/>
  <c r="H100" i="10" s="1"/>
  <c r="M104" i="10"/>
  <c r="M103" i="10" s="1"/>
  <c r="M102" i="10" s="1"/>
  <c r="M101" i="10" s="1"/>
  <c r="M100" i="10" s="1"/>
  <c r="F130" i="10"/>
  <c r="K130" i="10"/>
  <c r="Q130" i="10"/>
  <c r="K50" i="2"/>
  <c r="H148" i="10"/>
  <c r="M148" i="10"/>
  <c r="F158" i="10"/>
  <c r="I57" i="2" s="1"/>
  <c r="K158" i="10"/>
  <c r="M57" i="2" s="1"/>
  <c r="G7" i="11" s="1"/>
  <c r="Q158" i="10"/>
  <c r="W57" i="2" s="1"/>
  <c r="H179" i="10"/>
  <c r="M179" i="10"/>
  <c r="H26" i="17" s="1"/>
  <c r="I82" i="2"/>
  <c r="W82" i="2"/>
  <c r="F203" i="10"/>
  <c r="I83" i="2" s="1"/>
  <c r="K203" i="10"/>
  <c r="M83" i="2" s="1"/>
  <c r="G21" i="11" s="1"/>
  <c r="Q203" i="10"/>
  <c r="W83" i="2" s="1"/>
  <c r="O148" i="10"/>
  <c r="I86" i="2"/>
  <c r="V86" i="2"/>
  <c r="J86" i="2"/>
  <c r="N86" i="2"/>
  <c r="I24" i="11" s="1"/>
  <c r="W86" i="2"/>
  <c r="K86" i="2"/>
  <c r="P86" i="2"/>
  <c r="O24" i="11" s="1"/>
  <c r="U86" i="2"/>
  <c r="H86" i="2"/>
  <c r="O86" i="2"/>
  <c r="J24" i="11" s="1"/>
  <c r="T86" i="2"/>
  <c r="H67" i="2"/>
  <c r="O67" i="2"/>
  <c r="J18" i="11" s="1"/>
  <c r="T67" i="2"/>
  <c r="U67" i="2"/>
  <c r="I67" i="2"/>
  <c r="M67" i="2"/>
  <c r="G18" i="11" s="1"/>
  <c r="V67" i="2"/>
  <c r="G67" i="2"/>
  <c r="J67" i="2"/>
  <c r="W67" i="2"/>
  <c r="K67" i="2"/>
  <c r="P67" i="2"/>
  <c r="O18" i="11" s="1"/>
  <c r="U66" i="2"/>
  <c r="E74" i="10"/>
  <c r="P52" i="2"/>
  <c r="O6" i="11" s="1"/>
  <c r="W55" i="2"/>
  <c r="K55" i="2"/>
  <c r="M55" i="2"/>
  <c r="P4" i="13"/>
  <c r="P3" i="13" s="1"/>
  <c r="O4" i="13"/>
  <c r="S4" i="13" s="1"/>
  <c r="P55" i="2"/>
  <c r="P6" i="13"/>
  <c r="P5" i="13" s="1"/>
  <c r="O55" i="2"/>
  <c r="O6" i="13"/>
  <c r="O5" i="13" s="1"/>
  <c r="G12" i="14"/>
  <c r="I2" i="13"/>
  <c r="N74" i="10"/>
  <c r="H36" i="10"/>
  <c r="K27" i="2" s="1"/>
  <c r="H74" i="10"/>
  <c r="K2" i="13"/>
  <c r="K3" i="4"/>
  <c r="R4" i="4"/>
  <c r="P83" i="2"/>
  <c r="O21" i="11" s="1"/>
  <c r="K51" i="14"/>
  <c r="J2" i="13"/>
  <c r="P4" i="4"/>
  <c r="V83" i="2"/>
  <c r="T11" i="10"/>
  <c r="S45" i="10"/>
  <c r="V48" i="2"/>
  <c r="E31" i="14"/>
  <c r="F31" i="14" s="1"/>
  <c r="F32" i="14"/>
  <c r="J36" i="10"/>
  <c r="O27" i="2" s="1"/>
  <c r="N36" i="10"/>
  <c r="T27" i="2" s="1"/>
  <c r="T52" i="10"/>
  <c r="P5" i="4"/>
  <c r="Q5" i="4"/>
  <c r="P6" i="4"/>
  <c r="Q6" i="4"/>
  <c r="P7" i="4"/>
  <c r="Q7" i="4"/>
  <c r="S57" i="10"/>
  <c r="S66" i="10"/>
  <c r="O74" i="10"/>
  <c r="S14" i="10"/>
  <c r="N51" i="10"/>
  <c r="N50" i="10" s="1"/>
  <c r="N49" i="10" s="1"/>
  <c r="S54" i="10"/>
  <c r="S76" i="10"/>
  <c r="T198" i="10"/>
  <c r="F26" i="14"/>
  <c r="E7" i="14"/>
  <c r="F8" i="14"/>
  <c r="F51" i="14"/>
  <c r="F39" i="14"/>
  <c r="F36" i="14"/>
  <c r="T142" i="10"/>
  <c r="S161" i="10"/>
  <c r="S200" i="10"/>
  <c r="Q36" i="10"/>
  <c r="W27" i="2" s="1"/>
  <c r="N62" i="10"/>
  <c r="N59" i="10" s="1"/>
  <c r="J74" i="10"/>
  <c r="G24" i="17" s="1"/>
  <c r="Q74" i="10"/>
  <c r="S97" i="10"/>
  <c r="S96" i="10" s="1"/>
  <c r="S95" i="10" s="1"/>
  <c r="T141" i="10"/>
  <c r="S149" i="10"/>
  <c r="S160" i="10"/>
  <c r="T197" i="10"/>
  <c r="S211" i="10"/>
  <c r="S210" i="10" s="1"/>
  <c r="N13" i="10"/>
  <c r="N7" i="10" s="1"/>
  <c r="N6" i="10" s="1"/>
  <c r="F36" i="10"/>
  <c r="I27" i="2" s="1"/>
  <c r="H56" i="10"/>
  <c r="H55" i="10" s="1"/>
  <c r="F74" i="10"/>
  <c r="P36" i="10"/>
  <c r="V27" i="2" s="1"/>
  <c r="S106" i="10"/>
  <c r="S105" i="10" s="1"/>
  <c r="S110" i="10"/>
  <c r="S109" i="10" s="1"/>
  <c r="S150" i="10"/>
  <c r="I133" i="10"/>
  <c r="I142" i="10"/>
  <c r="I180" i="10"/>
  <c r="I205" i="10"/>
  <c r="T12" i="2"/>
  <c r="K37" i="2"/>
  <c r="L37" i="2" s="1"/>
  <c r="H38" i="14" s="1"/>
  <c r="H60" i="10"/>
  <c r="K39" i="10"/>
  <c r="M28" i="2" s="1"/>
  <c r="I76" i="10"/>
  <c r="E36" i="10"/>
  <c r="H27" i="2" s="1"/>
  <c r="N56" i="10"/>
  <c r="N55" i="10" s="1"/>
  <c r="N25" i="10"/>
  <c r="N24" i="10" s="1"/>
  <c r="I194" i="10"/>
  <c r="I193" i="10" s="1"/>
  <c r="I202" i="10"/>
  <c r="S23" i="10"/>
  <c r="F39" i="10"/>
  <c r="I28" i="2" s="1"/>
  <c r="N39" i="10"/>
  <c r="T28" i="2" s="1"/>
  <c r="H39" i="10"/>
  <c r="K28" i="2" s="1"/>
  <c r="P39" i="10"/>
  <c r="V28" i="2" s="1"/>
  <c r="J39" i="10"/>
  <c r="O28" i="2" s="1"/>
  <c r="H62" i="10"/>
  <c r="K74" i="10"/>
  <c r="V50" i="2"/>
  <c r="V51" i="2"/>
  <c r="P16" i="10"/>
  <c r="L56" i="10"/>
  <c r="I12" i="10"/>
  <c r="I20" i="10"/>
  <c r="I152" i="10"/>
  <c r="I174" i="10"/>
  <c r="N33" i="2"/>
  <c r="I35" i="14" s="1"/>
  <c r="K35" i="14" s="1"/>
  <c r="I42" i="10"/>
  <c r="I48" i="10"/>
  <c r="I61" i="10"/>
  <c r="I60" i="10" s="1"/>
  <c r="E18" i="17" s="1"/>
  <c r="O9" i="2"/>
  <c r="N19" i="2"/>
  <c r="I22" i="14" s="1"/>
  <c r="K22" i="14" s="1"/>
  <c r="L74" i="10"/>
  <c r="F24" i="17" s="1"/>
  <c r="I106" i="10"/>
  <c r="I105" i="10" s="1"/>
  <c r="I199" i="10"/>
  <c r="R27" i="10"/>
  <c r="I110" i="10"/>
  <c r="I109" i="10" s="1"/>
  <c r="I150" i="10"/>
  <c r="I161" i="10"/>
  <c r="I211" i="10"/>
  <c r="I210" i="10" s="1"/>
  <c r="S58" i="10"/>
  <c r="I38" i="10"/>
  <c r="I45" i="10"/>
  <c r="I54" i="10"/>
  <c r="I113" i="10"/>
  <c r="I112" i="10" s="1"/>
  <c r="I111" i="10" s="1"/>
  <c r="I139" i="10"/>
  <c r="I183" i="10"/>
  <c r="R97" i="10"/>
  <c r="R96" i="10" s="1"/>
  <c r="R95" i="10" s="1"/>
  <c r="O36" i="10"/>
  <c r="U27" i="2" s="1"/>
  <c r="D74" i="10"/>
  <c r="I28" i="10"/>
  <c r="I58" i="10"/>
  <c r="I66" i="10"/>
  <c r="I9" i="10"/>
  <c r="T10" i="10"/>
  <c r="S22" i="10"/>
  <c r="R43" i="10"/>
  <c r="S44" i="10"/>
  <c r="T48" i="10"/>
  <c r="K51" i="10"/>
  <c r="K50" i="10" s="1"/>
  <c r="K49" i="10" s="1"/>
  <c r="S53" i="10"/>
  <c r="R65" i="10"/>
  <c r="S75" i="10"/>
  <c r="S133" i="10"/>
  <c r="T140" i="10"/>
  <c r="S142" i="10"/>
  <c r="S180" i="10"/>
  <c r="S198" i="10"/>
  <c r="S205" i="10"/>
  <c r="S207" i="10"/>
  <c r="S206" i="10" s="1"/>
  <c r="S20" i="10"/>
  <c r="S43" i="10"/>
  <c r="T47" i="10"/>
  <c r="S52" i="10"/>
  <c r="S65" i="10"/>
  <c r="M74" i="10"/>
  <c r="H24" i="17" s="1"/>
  <c r="S132" i="10"/>
  <c r="T139" i="10"/>
  <c r="S141" i="10"/>
  <c r="S174" i="10"/>
  <c r="S204" i="10"/>
  <c r="I15" i="10"/>
  <c r="S19" i="10"/>
  <c r="G36" i="10"/>
  <c r="J27" i="2" s="1"/>
  <c r="S42" i="10"/>
  <c r="S64" i="10"/>
  <c r="S63" i="10" s="1"/>
  <c r="G74" i="10"/>
  <c r="S131" i="10"/>
  <c r="S140" i="10"/>
  <c r="S173" i="10"/>
  <c r="S202" i="10"/>
  <c r="I17" i="10"/>
  <c r="I23" i="10"/>
  <c r="S9" i="10"/>
  <c r="I11" i="10"/>
  <c r="S18" i="10"/>
  <c r="S41" i="10"/>
  <c r="S61" i="10"/>
  <c r="S60" i="10" s="1"/>
  <c r="S113" i="10"/>
  <c r="S112" i="10" s="1"/>
  <c r="S111" i="10" s="1"/>
  <c r="R138" i="10"/>
  <c r="S151" i="10"/>
  <c r="S201" i="10"/>
  <c r="T12" i="10"/>
  <c r="S15" i="10"/>
  <c r="S26" i="10"/>
  <c r="S40" i="10"/>
  <c r="R22" i="10"/>
  <c r="I21" i="10"/>
  <c r="I35" i="10"/>
  <c r="I34" i="10" s="1"/>
  <c r="I44" i="10"/>
  <c r="I172" i="10"/>
  <c r="I200" i="10"/>
  <c r="I204" i="10"/>
  <c r="I207" i="10"/>
  <c r="I206" i="10" s="1"/>
  <c r="T27" i="10"/>
  <c r="T28" i="10"/>
  <c r="T32" i="10"/>
  <c r="T31" i="10" s="1"/>
  <c r="I40" i="10"/>
  <c r="T46" i="10"/>
  <c r="I52" i="10"/>
  <c r="G56" i="10"/>
  <c r="G55" i="10" s="1"/>
  <c r="I140" i="10"/>
  <c r="I173" i="10"/>
  <c r="I201" i="10"/>
  <c r="S11" i="10"/>
  <c r="S12" i="10"/>
  <c r="S17" i="10"/>
  <c r="G16" i="10"/>
  <c r="I37" i="10"/>
  <c r="S37" i="10"/>
  <c r="S38" i="10"/>
  <c r="G39" i="10"/>
  <c r="J28" i="2" s="1"/>
  <c r="S47" i="10"/>
  <c r="S48" i="10"/>
  <c r="I53" i="10"/>
  <c r="I65" i="10"/>
  <c r="I97" i="10"/>
  <c r="I96" i="10" s="1"/>
  <c r="S138" i="10"/>
  <c r="S139" i="10"/>
  <c r="I141" i="10"/>
  <c r="I159" i="10"/>
  <c r="S159" i="10"/>
  <c r="I197" i="10"/>
  <c r="S197" i="10"/>
  <c r="I10" i="10"/>
  <c r="S10" i="10"/>
  <c r="I14" i="10"/>
  <c r="S27" i="10"/>
  <c r="S28" i="10"/>
  <c r="I32" i="10"/>
  <c r="I31" i="10" s="1"/>
  <c r="E11" i="17" s="1"/>
  <c r="S32" i="10"/>
  <c r="S31" i="10" s="1"/>
  <c r="S35" i="10"/>
  <c r="S34" i="10" s="1"/>
  <c r="I46" i="10"/>
  <c r="S46" i="10"/>
  <c r="R75" i="10"/>
  <c r="I137" i="10"/>
  <c r="S137" i="10"/>
  <c r="S153" i="10"/>
  <c r="S152" i="10"/>
  <c r="S182" i="10"/>
  <c r="S183" i="10"/>
  <c r="S194" i="10"/>
  <c r="S193" i="10" s="1"/>
  <c r="I198" i="10"/>
  <c r="I26" i="10"/>
  <c r="I47" i="10"/>
  <c r="I132" i="10"/>
  <c r="I151" i="10"/>
  <c r="I181" i="10"/>
  <c r="T14" i="10"/>
  <c r="R19" i="10"/>
  <c r="I27" i="10"/>
  <c r="I43" i="10"/>
  <c r="I131" i="10"/>
  <c r="I153" i="10"/>
  <c r="I182" i="10"/>
  <c r="D43" i="14"/>
  <c r="Q39" i="10"/>
  <c r="W28" i="2" s="1"/>
  <c r="T153" i="10"/>
  <c r="T182" i="10"/>
  <c r="T183" i="10"/>
  <c r="T194" i="10"/>
  <c r="T193" i="10" s="1"/>
  <c r="T9" i="10"/>
  <c r="T26" i="10"/>
  <c r="T76" i="10"/>
  <c r="T151" i="10"/>
  <c r="T181" i="10"/>
  <c r="T211" i="10"/>
  <c r="T210" i="10" s="1"/>
  <c r="T22" i="10"/>
  <c r="T23" i="10"/>
  <c r="T57" i="10"/>
  <c r="T97" i="10"/>
  <c r="T96" i="10" s="1"/>
  <c r="T95" i="10" s="1"/>
  <c r="T106" i="10"/>
  <c r="T105" i="10" s="1"/>
  <c r="T149" i="10"/>
  <c r="T180" i="10"/>
  <c r="T53" i="10"/>
  <c r="T54" i="10"/>
  <c r="O39" i="10"/>
  <c r="U28" i="2" s="1"/>
  <c r="T35" i="10"/>
  <c r="T34" i="10" s="1"/>
  <c r="T37" i="10"/>
  <c r="T58" i="10"/>
  <c r="T110" i="10"/>
  <c r="T109" i="10" s="1"/>
  <c r="T152" i="10"/>
  <c r="T159" i="10"/>
  <c r="T160" i="10"/>
  <c r="T199" i="10"/>
  <c r="T200" i="10"/>
  <c r="T201" i="10"/>
  <c r="T15" i="10"/>
  <c r="T38" i="10"/>
  <c r="T40" i="10"/>
  <c r="T41" i="10"/>
  <c r="T61" i="10"/>
  <c r="T60" i="10" s="1"/>
  <c r="T64" i="10"/>
  <c r="T63" i="10" s="1"/>
  <c r="T113" i="10"/>
  <c r="T112" i="10" s="1"/>
  <c r="T111" i="10" s="1"/>
  <c r="T131" i="10"/>
  <c r="T161" i="10"/>
  <c r="T172" i="10"/>
  <c r="T173" i="10"/>
  <c r="T202" i="10"/>
  <c r="T204" i="10"/>
  <c r="T17" i="10"/>
  <c r="T18" i="10"/>
  <c r="T19" i="10"/>
  <c r="T42" i="10"/>
  <c r="T43" i="10"/>
  <c r="T44" i="10"/>
  <c r="T65" i="10"/>
  <c r="T75" i="10"/>
  <c r="T133" i="10"/>
  <c r="T137" i="10"/>
  <c r="T138" i="10"/>
  <c r="T174" i="10"/>
  <c r="T205" i="10"/>
  <c r="T207" i="10"/>
  <c r="T206" i="10" s="1"/>
  <c r="T20" i="10"/>
  <c r="T21" i="10"/>
  <c r="M36" i="10"/>
  <c r="P27" i="2" s="1"/>
  <c r="T45" i="10"/>
  <c r="M39" i="10"/>
  <c r="P28" i="2" s="1"/>
  <c r="T66" i="10"/>
  <c r="T150" i="10"/>
  <c r="N8" i="2"/>
  <c r="X8" i="2" s="1"/>
  <c r="R9" i="10"/>
  <c r="R54" i="10"/>
  <c r="R57" i="10"/>
  <c r="R198" i="10"/>
  <c r="R12" i="10"/>
  <c r="R14" i="10"/>
  <c r="R35" i="10"/>
  <c r="R34" i="10" s="1"/>
  <c r="R37" i="10"/>
  <c r="R58" i="10"/>
  <c r="R200" i="10"/>
  <c r="R15" i="10"/>
  <c r="R40" i="10"/>
  <c r="R113" i="10"/>
  <c r="R112" i="10" s="1"/>
  <c r="R111" i="10" s="1"/>
  <c r="R132" i="10"/>
  <c r="R174" i="10"/>
  <c r="R21" i="10"/>
  <c r="R45" i="10"/>
  <c r="R141" i="10"/>
  <c r="R183" i="10"/>
  <c r="R11" i="10"/>
  <c r="R23" i="10"/>
  <c r="R26" i="10"/>
  <c r="R38" i="10"/>
  <c r="R53" i="10"/>
  <c r="R110" i="10"/>
  <c r="R109" i="10" s="1"/>
  <c r="R139" i="10"/>
  <c r="R140" i="10"/>
  <c r="R153" i="10"/>
  <c r="R194" i="10"/>
  <c r="R193" i="10" s="1"/>
  <c r="R202" i="10"/>
  <c r="R204" i="10"/>
  <c r="R41" i="10"/>
  <c r="R46" i="10"/>
  <c r="R152" i="10"/>
  <c r="R180" i="10"/>
  <c r="R205" i="10"/>
  <c r="R207" i="10"/>
  <c r="R206" i="10" s="1"/>
  <c r="R20" i="10"/>
  <c r="R28" i="10"/>
  <c r="R32" i="10"/>
  <c r="R31" i="10" s="1"/>
  <c r="R42" i="10"/>
  <c r="R47" i="10"/>
  <c r="R76" i="10"/>
  <c r="R133" i="10"/>
  <c r="R137" i="10"/>
  <c r="R142" i="10"/>
  <c r="R149" i="10"/>
  <c r="R160" i="10"/>
  <c r="R182" i="10"/>
  <c r="R199" i="10"/>
  <c r="R201" i="10"/>
  <c r="R211" i="10"/>
  <c r="R210" i="10" s="1"/>
  <c r="R17" i="10"/>
  <c r="R44" i="10"/>
  <c r="R48" i="10"/>
  <c r="R61" i="10"/>
  <c r="R60" i="10" s="1"/>
  <c r="R64" i="10"/>
  <c r="R63" i="10" s="1"/>
  <c r="R106" i="10"/>
  <c r="R105" i="10" s="1"/>
  <c r="R150" i="10"/>
  <c r="R151" i="10"/>
  <c r="R161" i="10"/>
  <c r="R172" i="10"/>
  <c r="R173" i="10"/>
  <c r="R66" i="10"/>
  <c r="R197" i="10"/>
  <c r="S199" i="10"/>
  <c r="R181" i="10"/>
  <c r="S181" i="10"/>
  <c r="S172" i="10"/>
  <c r="R159" i="10"/>
  <c r="I160" i="10"/>
  <c r="I149" i="10"/>
  <c r="I138" i="10"/>
  <c r="R131" i="10"/>
  <c r="T132" i="10"/>
  <c r="I75" i="10"/>
  <c r="P41" i="2"/>
  <c r="J41" i="2"/>
  <c r="I64" i="10"/>
  <c r="I63" i="10" s="1"/>
  <c r="H35" i="2"/>
  <c r="H34" i="2" s="1"/>
  <c r="U35" i="2"/>
  <c r="U34" i="2" s="1"/>
  <c r="I57" i="10"/>
  <c r="G51" i="10"/>
  <c r="G50" i="10" s="1"/>
  <c r="G49" i="10" s="1"/>
  <c r="J32" i="2"/>
  <c r="L32" i="2" s="1"/>
  <c r="R52" i="10"/>
  <c r="E39" i="10"/>
  <c r="H28" i="2" s="1"/>
  <c r="I41" i="10"/>
  <c r="J21" i="2"/>
  <c r="L21" i="2" s="1"/>
  <c r="G25" i="10"/>
  <c r="G24" i="10" s="1"/>
  <c r="M17" i="2"/>
  <c r="X17" i="2" s="1"/>
  <c r="R18" i="10"/>
  <c r="H17" i="2"/>
  <c r="L17" i="2" s="1"/>
  <c r="I19" i="10"/>
  <c r="S21" i="10"/>
  <c r="I22" i="10"/>
  <c r="I18" i="10"/>
  <c r="R10" i="10"/>
  <c r="J9" i="2"/>
  <c r="Z7" i="2"/>
  <c r="Z14" i="2"/>
  <c r="Z16" i="2"/>
  <c r="Z19" i="2"/>
  <c r="Z22" i="2"/>
  <c r="Z26" i="2"/>
  <c r="Z32" i="2"/>
  <c r="Z8" i="2"/>
  <c r="Z10" i="2"/>
  <c r="Z17" i="2"/>
  <c r="Z18" i="2"/>
  <c r="Z21" i="2"/>
  <c r="Z33" i="2"/>
  <c r="Z43" i="2"/>
  <c r="X16" i="2"/>
  <c r="X18" i="2"/>
  <c r="X21" i="2"/>
  <c r="X26" i="2"/>
  <c r="X32" i="2"/>
  <c r="X43" i="2"/>
  <c r="X6" i="2"/>
  <c r="Q4" i="13"/>
  <c r="Q3" i="13" s="1"/>
  <c r="Y6" i="2"/>
  <c r="Y16" i="2"/>
  <c r="Y17" i="2"/>
  <c r="Y18" i="2"/>
  <c r="Y21" i="2"/>
  <c r="Y26" i="2"/>
  <c r="Y32" i="2"/>
  <c r="Y43" i="2"/>
  <c r="P25" i="10"/>
  <c r="P24" i="10" s="1"/>
  <c r="J13" i="2"/>
  <c r="T70" i="2"/>
  <c r="E56" i="10"/>
  <c r="E55" i="10" s="1"/>
  <c r="T20" i="2"/>
  <c r="K42" i="2"/>
  <c r="K41" i="2" s="1"/>
  <c r="K38" i="2" s="1"/>
  <c r="T66" i="2"/>
  <c r="T25" i="2"/>
  <c r="R4" i="13"/>
  <c r="G3" i="13"/>
  <c r="L3" i="13"/>
  <c r="Q16" i="10"/>
  <c r="W13" i="2"/>
  <c r="W70" i="2"/>
  <c r="D25" i="10"/>
  <c r="D24" i="10" s="1"/>
  <c r="G20" i="2"/>
  <c r="G23" i="14" s="1"/>
  <c r="G71" i="2"/>
  <c r="N7" i="2"/>
  <c r="N9" i="2"/>
  <c r="N10" i="2"/>
  <c r="E13" i="10"/>
  <c r="E7" i="10" s="1"/>
  <c r="E6" i="10" s="1"/>
  <c r="H11" i="2"/>
  <c r="L13" i="10"/>
  <c r="L7" i="10" s="1"/>
  <c r="L6" i="10" s="1"/>
  <c r="F6" i="17" s="1"/>
  <c r="N11" i="2"/>
  <c r="I14" i="14" s="1"/>
  <c r="K14" i="14" s="1"/>
  <c r="N12" i="2"/>
  <c r="E16" i="10"/>
  <c r="H13" i="2"/>
  <c r="L16" i="10"/>
  <c r="F7" i="17" s="1"/>
  <c r="N13" i="2"/>
  <c r="I16" i="14" s="1"/>
  <c r="K16" i="14" s="1"/>
  <c r="N14" i="2"/>
  <c r="N15" i="2"/>
  <c r="E25" i="10"/>
  <c r="E24" i="10" s="1"/>
  <c r="H20" i="2"/>
  <c r="L25" i="10"/>
  <c r="L24" i="10" s="1"/>
  <c r="F8" i="17" s="1"/>
  <c r="N20" i="2"/>
  <c r="I23" i="14" s="1"/>
  <c r="K23" i="14" s="1"/>
  <c r="N22" i="2"/>
  <c r="E31" i="10"/>
  <c r="H25" i="2"/>
  <c r="L31" i="10"/>
  <c r="F11" i="17" s="1"/>
  <c r="N25" i="2"/>
  <c r="I27" i="14" s="1"/>
  <c r="K27" i="14" s="1"/>
  <c r="H26" i="2"/>
  <c r="V13" i="2"/>
  <c r="M31" i="2"/>
  <c r="Q13" i="10"/>
  <c r="Q7" i="10" s="1"/>
  <c r="Q6" i="10" s="1"/>
  <c r="W11" i="2"/>
  <c r="K16" i="10"/>
  <c r="M13" i="2"/>
  <c r="Q25" i="10"/>
  <c r="Q24" i="10" s="1"/>
  <c r="W20" i="2"/>
  <c r="Q51" i="10"/>
  <c r="Q50" i="10" s="1"/>
  <c r="Q49" i="10" s="1"/>
  <c r="W31" i="2"/>
  <c r="W30" i="2" s="1"/>
  <c r="W29" i="2" s="1"/>
  <c r="Q60" i="10"/>
  <c r="W40" i="2"/>
  <c r="W39" i="2" s="1"/>
  <c r="W71" i="2"/>
  <c r="G70" i="2"/>
  <c r="D39" i="10"/>
  <c r="G28" i="2" s="1"/>
  <c r="G30" i="14" s="1"/>
  <c r="P9" i="2"/>
  <c r="F13" i="10"/>
  <c r="F7" i="10" s="1"/>
  <c r="F6" i="10" s="1"/>
  <c r="I11" i="2"/>
  <c r="P11" i="2"/>
  <c r="P12" i="2"/>
  <c r="Z12" i="2" s="1"/>
  <c r="M16" i="10"/>
  <c r="H7" i="17" s="1"/>
  <c r="P13" i="2"/>
  <c r="P15" i="2"/>
  <c r="Z15" i="2" s="1"/>
  <c r="F25" i="10"/>
  <c r="F24" i="10" s="1"/>
  <c r="I20" i="2"/>
  <c r="M25" i="10"/>
  <c r="M24" i="10" s="1"/>
  <c r="H8" i="17" s="1"/>
  <c r="P20" i="2"/>
  <c r="F31" i="10"/>
  <c r="I25" i="2"/>
  <c r="M31" i="10"/>
  <c r="H11" i="17" s="1"/>
  <c r="P25" i="2"/>
  <c r="F51" i="10"/>
  <c r="F50" i="10" s="1"/>
  <c r="F49" i="10" s="1"/>
  <c r="I31" i="2"/>
  <c r="M51" i="10"/>
  <c r="M50" i="10" s="1"/>
  <c r="P31" i="2"/>
  <c r="P30" i="2" s="1"/>
  <c r="K63" i="10"/>
  <c r="K62" i="10" s="1"/>
  <c r="M42" i="2"/>
  <c r="D56" i="10"/>
  <c r="D55" i="10" s="1"/>
  <c r="G36" i="2"/>
  <c r="G13" i="10"/>
  <c r="G7" i="10" s="1"/>
  <c r="G6" i="10" s="1"/>
  <c r="J11" i="2"/>
  <c r="N16" i="10"/>
  <c r="T13" i="2"/>
  <c r="T71" i="2"/>
  <c r="K13" i="10"/>
  <c r="K7" i="10" s="1"/>
  <c r="K6" i="10" s="1"/>
  <c r="M11" i="2"/>
  <c r="K25" i="10"/>
  <c r="K24" i="10" s="1"/>
  <c r="M20" i="2"/>
  <c r="Q56" i="10"/>
  <c r="Q55" i="10" s="1"/>
  <c r="W36" i="2"/>
  <c r="W35" i="2" s="1"/>
  <c r="W34" i="2" s="1"/>
  <c r="R8" i="10"/>
  <c r="D31" i="10"/>
  <c r="G25" i="2"/>
  <c r="G27" i="14" s="1"/>
  <c r="D60" i="10"/>
  <c r="G40" i="2"/>
  <c r="G40" i="14" s="1"/>
  <c r="H13" i="10"/>
  <c r="H7" i="10" s="1"/>
  <c r="H6" i="10" s="1"/>
  <c r="K11" i="2"/>
  <c r="O13" i="10"/>
  <c r="O7" i="10" s="1"/>
  <c r="O6" i="10" s="1"/>
  <c r="U11" i="2"/>
  <c r="H16" i="10"/>
  <c r="K13" i="2"/>
  <c r="O16" i="10"/>
  <c r="U13" i="2"/>
  <c r="H25" i="10"/>
  <c r="H24" i="10" s="1"/>
  <c r="K20" i="2"/>
  <c r="O25" i="10"/>
  <c r="O24" i="10" s="1"/>
  <c r="U20" i="2"/>
  <c r="H31" i="10"/>
  <c r="K25" i="2"/>
  <c r="O31" i="10"/>
  <c r="U25" i="2"/>
  <c r="K26" i="2"/>
  <c r="H51" i="10"/>
  <c r="H50" i="10" s="1"/>
  <c r="H49" i="10" s="1"/>
  <c r="K31" i="2"/>
  <c r="K30" i="2" s="1"/>
  <c r="K29" i="2" s="1"/>
  <c r="O51" i="10"/>
  <c r="O50" i="10" s="1"/>
  <c r="O49" i="10" s="1"/>
  <c r="U31" i="2"/>
  <c r="U30" i="2" s="1"/>
  <c r="U29" i="2" s="1"/>
  <c r="T11" i="2"/>
  <c r="K36" i="2"/>
  <c r="Q31" i="10"/>
  <c r="W25" i="2"/>
  <c r="K56" i="10"/>
  <c r="K55" i="10" s="1"/>
  <c r="M36" i="2"/>
  <c r="K60" i="10"/>
  <c r="M40" i="2"/>
  <c r="Q63" i="10"/>
  <c r="Q62" i="10" s="1"/>
  <c r="W42" i="2"/>
  <c r="W41" i="2" s="1"/>
  <c r="M70" i="2"/>
  <c r="D51" i="10"/>
  <c r="D50" i="10" s="1"/>
  <c r="D49" i="10" s="1"/>
  <c r="G31" i="2"/>
  <c r="G33" i="14" s="1"/>
  <c r="D63" i="10"/>
  <c r="D62" i="10" s="1"/>
  <c r="G42" i="2"/>
  <c r="G41" i="14" s="1"/>
  <c r="G66" i="2"/>
  <c r="J13" i="10"/>
  <c r="J7" i="10" s="1"/>
  <c r="J6" i="10" s="1"/>
  <c r="G6" i="17" s="1"/>
  <c r="O11" i="2"/>
  <c r="P13" i="10"/>
  <c r="P7" i="10" s="1"/>
  <c r="P6" i="10" s="1"/>
  <c r="V11" i="2"/>
  <c r="J16" i="10"/>
  <c r="G7" i="17" s="1"/>
  <c r="O13" i="2"/>
  <c r="J25" i="10"/>
  <c r="J24" i="10" s="1"/>
  <c r="G8" i="17" s="1"/>
  <c r="O20" i="2"/>
  <c r="J31" i="10"/>
  <c r="G11" i="17" s="1"/>
  <c r="O25" i="2"/>
  <c r="P31" i="10"/>
  <c r="V25" i="2"/>
  <c r="V26" i="2"/>
  <c r="J51" i="10"/>
  <c r="J50" i="10" s="1"/>
  <c r="O31" i="2"/>
  <c r="Y31" i="2" s="1"/>
  <c r="P51" i="10"/>
  <c r="P50" i="10" s="1"/>
  <c r="P49" i="10" s="1"/>
  <c r="V31" i="2"/>
  <c r="V30" i="2" s="1"/>
  <c r="V29" i="2" s="1"/>
  <c r="V66" i="2"/>
  <c r="E51" i="10"/>
  <c r="E50" i="10" s="1"/>
  <c r="E49" i="10" s="1"/>
  <c r="H31" i="2"/>
  <c r="H30" i="2" s="1"/>
  <c r="H29" i="2" s="1"/>
  <c r="E60" i="10"/>
  <c r="H40" i="2"/>
  <c r="H39" i="2" s="1"/>
  <c r="E63" i="10"/>
  <c r="E62" i="10" s="1"/>
  <c r="H42" i="2"/>
  <c r="H41" i="2" s="1"/>
  <c r="H70" i="2"/>
  <c r="H71" i="2"/>
  <c r="O56" i="10"/>
  <c r="O55" i="10" s="1"/>
  <c r="N36" i="2"/>
  <c r="I37" i="14" s="1"/>
  <c r="K37" i="14" s="1"/>
  <c r="N37" i="2"/>
  <c r="N40" i="2"/>
  <c r="I40" i="14" s="1"/>
  <c r="K40" i="14" s="1"/>
  <c r="N42" i="2"/>
  <c r="I41" i="14" s="1"/>
  <c r="K41" i="14" s="1"/>
  <c r="F56" i="10"/>
  <c r="F55" i="10" s="1"/>
  <c r="I36" i="2"/>
  <c r="M56" i="10"/>
  <c r="P36" i="2"/>
  <c r="P37" i="2"/>
  <c r="Z37" i="2" s="1"/>
  <c r="F60" i="10"/>
  <c r="I40" i="2"/>
  <c r="M60" i="10"/>
  <c r="H18" i="17" s="1"/>
  <c r="P40" i="2"/>
  <c r="P39" i="2" s="1"/>
  <c r="F63" i="10"/>
  <c r="F62" i="10" s="1"/>
  <c r="I42" i="2"/>
  <c r="I70" i="2"/>
  <c r="P70" i="2"/>
  <c r="I66" i="2"/>
  <c r="P66" i="2"/>
  <c r="O17" i="11" s="1"/>
  <c r="J60" i="10"/>
  <c r="G18" i="17" s="1"/>
  <c r="J20" i="2"/>
  <c r="J25" i="2"/>
  <c r="T26" i="2"/>
  <c r="T31" i="2"/>
  <c r="T30" i="2" s="1"/>
  <c r="T29" i="2" s="1"/>
  <c r="T36" i="2"/>
  <c r="T35" i="2" s="1"/>
  <c r="T34" i="2" s="1"/>
  <c r="T40" i="2"/>
  <c r="T39" i="2" s="1"/>
  <c r="T42" i="2"/>
  <c r="T41" i="2" s="1"/>
  <c r="J71" i="2"/>
  <c r="U40" i="2"/>
  <c r="U39" i="2" s="1"/>
  <c r="O63" i="10"/>
  <c r="O62" i="10" s="1"/>
  <c r="O59" i="10" s="1"/>
  <c r="U42" i="2"/>
  <c r="U41" i="2" s="1"/>
  <c r="K70" i="2"/>
  <c r="U70" i="2"/>
  <c r="K71" i="2"/>
  <c r="U71" i="2"/>
  <c r="G63" i="10"/>
  <c r="G62" i="10" s="1"/>
  <c r="G59" i="10" s="1"/>
  <c r="J31" i="2"/>
  <c r="J70" i="2"/>
  <c r="J56" i="10"/>
  <c r="O36" i="2"/>
  <c r="P56" i="10"/>
  <c r="P55" i="10" s="1"/>
  <c r="V36" i="2"/>
  <c r="V35" i="2" s="1"/>
  <c r="V34" i="2" s="1"/>
  <c r="P60" i="10"/>
  <c r="V40" i="2"/>
  <c r="V39" i="2" s="1"/>
  <c r="J63" i="10"/>
  <c r="J62" i="10" s="1"/>
  <c r="G19" i="17" s="1"/>
  <c r="O42" i="2"/>
  <c r="P63" i="10"/>
  <c r="P62" i="10" s="1"/>
  <c r="V42" i="2"/>
  <c r="V41" i="2" s="1"/>
  <c r="P72" i="10"/>
  <c r="P71" i="10" s="1"/>
  <c r="V64" i="2"/>
  <c r="O70" i="2"/>
  <c r="V70" i="2"/>
  <c r="O66" i="2"/>
  <c r="J17" i="11" s="1"/>
  <c r="O71" i="2"/>
  <c r="V71" i="2"/>
  <c r="J36" i="2"/>
  <c r="J35" i="2" s="1"/>
  <c r="J34" i="2" s="1"/>
  <c r="J40" i="2"/>
  <c r="J39" i="2" s="1"/>
  <c r="L43" i="2"/>
  <c r="L33" i="2"/>
  <c r="L22" i="2"/>
  <c r="H25" i="14" s="1"/>
  <c r="L7" i="2"/>
  <c r="H10" i="14" s="1"/>
  <c r="L19" i="2"/>
  <c r="L14" i="2"/>
  <c r="H17" i="14" s="1"/>
  <c r="L10" i="2"/>
  <c r="H13" i="14" s="1"/>
  <c r="L16" i="2"/>
  <c r="L18" i="2"/>
  <c r="L15" i="2"/>
  <c r="H18" i="14" s="1"/>
  <c r="L8" i="2"/>
  <c r="L12" i="2"/>
  <c r="H15" i="14" s="1"/>
  <c r="F16" i="10"/>
  <c r="M63" i="10"/>
  <c r="M62" i="10" s="1"/>
  <c r="H19" i="17" s="1"/>
  <c r="D36" i="10"/>
  <c r="L36" i="10"/>
  <c r="L39" i="10"/>
  <c r="N28" i="2" s="1"/>
  <c r="L51" i="10"/>
  <c r="L50" i="10" s="1"/>
  <c r="M13" i="10"/>
  <c r="M7" i="10" s="1"/>
  <c r="M6" i="10" s="1"/>
  <c r="H6" i="17" s="1"/>
  <c r="L60" i="10"/>
  <c r="F18" i="17" s="1"/>
  <c r="L63" i="10"/>
  <c r="L62" i="10" s="1"/>
  <c r="F19" i="17" s="1"/>
  <c r="K31" i="10"/>
  <c r="K36" i="10"/>
  <c r="D13" i="10"/>
  <c r="D7" i="10" s="1"/>
  <c r="D6" i="10" s="1"/>
  <c r="D16" i="10"/>
  <c r="N55" i="2"/>
  <c r="H54" i="2"/>
  <c r="M54" i="2"/>
  <c r="I54" i="2"/>
  <c r="P54" i="2"/>
  <c r="S8" i="10"/>
  <c r="T8" i="10"/>
  <c r="I8" i="10"/>
  <c r="F129" i="10" l="1"/>
  <c r="F22" i="17"/>
  <c r="L129" i="10"/>
  <c r="G22" i="17"/>
  <c r="J129" i="10"/>
  <c r="H129" i="10"/>
  <c r="G129" i="10"/>
  <c r="O129" i="10"/>
  <c r="O128" i="10" s="1"/>
  <c r="O116" i="10" s="1"/>
  <c r="E129" i="10"/>
  <c r="Q129" i="10"/>
  <c r="K129" i="10"/>
  <c r="D129" i="10"/>
  <c r="N129" i="10"/>
  <c r="H22" i="17"/>
  <c r="M129" i="10"/>
  <c r="S195" i="10"/>
  <c r="T136" i="10"/>
  <c r="R195" i="10"/>
  <c r="S136" i="10"/>
  <c r="I136" i="10"/>
  <c r="R136" i="10"/>
  <c r="I195" i="10"/>
  <c r="T195" i="10"/>
  <c r="H5" i="17"/>
  <c r="H4" i="17" s="1"/>
  <c r="G23" i="17"/>
  <c r="R169" i="10"/>
  <c r="T169" i="10"/>
  <c r="E28" i="17"/>
  <c r="I28" i="17" s="1"/>
  <c r="G27" i="17"/>
  <c r="M55" i="10"/>
  <c r="H16" i="17"/>
  <c r="H15" i="17" s="1"/>
  <c r="F5" i="17"/>
  <c r="F4" i="17" s="1"/>
  <c r="I169" i="10"/>
  <c r="N57" i="2"/>
  <c r="I7" i="11" s="1"/>
  <c r="H7" i="11" s="1"/>
  <c r="F25" i="17"/>
  <c r="P57" i="2"/>
  <c r="O7" i="11" s="1"/>
  <c r="H25" i="17"/>
  <c r="I18" i="17"/>
  <c r="F17" i="17"/>
  <c r="H17" i="17"/>
  <c r="N82" i="2"/>
  <c r="I20" i="11" s="1"/>
  <c r="F27" i="17"/>
  <c r="N50" i="2"/>
  <c r="I4" i="11" s="1"/>
  <c r="H4" i="11" s="1"/>
  <c r="F23" i="17"/>
  <c r="P82" i="2"/>
  <c r="O20" i="11" s="1"/>
  <c r="H27" i="17"/>
  <c r="J49" i="10"/>
  <c r="G14" i="17"/>
  <c r="G13" i="17" s="1"/>
  <c r="M49" i="10"/>
  <c r="H14" i="17"/>
  <c r="H13" i="17" s="1"/>
  <c r="I11" i="17"/>
  <c r="G5" i="17"/>
  <c r="G4" i="17" s="1"/>
  <c r="O57" i="2"/>
  <c r="J7" i="11" s="1"/>
  <c r="G25" i="17"/>
  <c r="L49" i="10"/>
  <c r="F14" i="17"/>
  <c r="J55" i="10"/>
  <c r="G16" i="17"/>
  <c r="G15" i="17" s="1"/>
  <c r="S169" i="10"/>
  <c r="I95" i="10"/>
  <c r="I88" i="10" s="1"/>
  <c r="I87" i="10" s="1"/>
  <c r="E29" i="17"/>
  <c r="I29" i="17" s="1"/>
  <c r="G17" i="17"/>
  <c r="E30" i="17"/>
  <c r="I30" i="17" s="1"/>
  <c r="L55" i="10"/>
  <c r="F16" i="17"/>
  <c r="P50" i="2"/>
  <c r="O4" i="11" s="1"/>
  <c r="H23" i="17"/>
  <c r="H21" i="11"/>
  <c r="Q128" i="10"/>
  <c r="Q116" i="10" s="1"/>
  <c r="N48" i="2"/>
  <c r="I2" i="11" s="1"/>
  <c r="L128" i="10"/>
  <c r="L116" i="10" s="1"/>
  <c r="D128" i="10"/>
  <c r="D116" i="10" s="1"/>
  <c r="T48" i="2"/>
  <c r="N128" i="10"/>
  <c r="N116" i="10" s="1"/>
  <c r="P48" i="2"/>
  <c r="O2" i="11" s="1"/>
  <c r="M128" i="10"/>
  <c r="M116" i="10" s="1"/>
  <c r="M48" i="2"/>
  <c r="G2" i="11" s="1"/>
  <c r="K128" i="10"/>
  <c r="K116" i="10" s="1"/>
  <c r="J48" i="2"/>
  <c r="G128" i="10"/>
  <c r="G116" i="10" s="1"/>
  <c r="O48" i="2"/>
  <c r="J2" i="11" s="1"/>
  <c r="J128" i="10"/>
  <c r="J116" i="10" s="1"/>
  <c r="K48" i="2"/>
  <c r="H128" i="10"/>
  <c r="H116" i="10" s="1"/>
  <c r="I48" i="2"/>
  <c r="F128" i="10"/>
  <c r="F116" i="10" s="1"/>
  <c r="E128" i="10"/>
  <c r="E116" i="10" s="1"/>
  <c r="G13" i="11"/>
  <c r="L6" i="2"/>
  <c r="Q6" i="2" s="1"/>
  <c r="T88" i="10"/>
  <c r="T87" i="10" s="1"/>
  <c r="S88" i="10"/>
  <c r="S87" i="10" s="1"/>
  <c r="R88" i="10"/>
  <c r="R87" i="10" s="1"/>
  <c r="O13" i="11"/>
  <c r="J22" i="11"/>
  <c r="L57" i="2"/>
  <c r="M82" i="2"/>
  <c r="O82" i="2"/>
  <c r="L82" i="2"/>
  <c r="J69" i="2"/>
  <c r="I203" i="10"/>
  <c r="G69" i="2"/>
  <c r="S62" i="10"/>
  <c r="S59" i="10" s="1"/>
  <c r="V47" i="2"/>
  <c r="V63" i="2"/>
  <c r="W48" i="2"/>
  <c r="U48" i="2"/>
  <c r="S158" i="10"/>
  <c r="R104" i="10"/>
  <c r="R103" i="10" s="1"/>
  <c r="R102" i="10" s="1"/>
  <c r="R101" i="10" s="1"/>
  <c r="R100" i="10" s="1"/>
  <c r="R158" i="10"/>
  <c r="T203" i="10"/>
  <c r="T104" i="10"/>
  <c r="T103" i="10" s="1"/>
  <c r="T102" i="10" s="1"/>
  <c r="T101" i="10" s="1"/>
  <c r="T100" i="10" s="1"/>
  <c r="I130" i="10"/>
  <c r="S203" i="10"/>
  <c r="T179" i="10"/>
  <c r="O50" i="2"/>
  <c r="J4" i="11" s="1"/>
  <c r="H48" i="2"/>
  <c r="S148" i="10"/>
  <c r="R148" i="10"/>
  <c r="R179" i="10"/>
  <c r="R203" i="10"/>
  <c r="T130" i="10"/>
  <c r="T158" i="10"/>
  <c r="T148" i="10"/>
  <c r="S130" i="10"/>
  <c r="I179" i="10"/>
  <c r="E26" i="17" s="1"/>
  <c r="I26" i="17" s="1"/>
  <c r="I148" i="10"/>
  <c r="I158" i="10"/>
  <c r="E25" i="17" s="1"/>
  <c r="R130" i="10"/>
  <c r="S179" i="10"/>
  <c r="I104" i="10"/>
  <c r="I103" i="10" s="1"/>
  <c r="I102" i="10" s="1"/>
  <c r="I101" i="10" s="1"/>
  <c r="I100" i="10" s="1"/>
  <c r="S104" i="10"/>
  <c r="S103" i="10" s="1"/>
  <c r="S102" i="10" s="1"/>
  <c r="S101" i="10" s="1"/>
  <c r="S100" i="10" s="1"/>
  <c r="Y86" i="2"/>
  <c r="Z86" i="2"/>
  <c r="U54" i="2"/>
  <c r="U55" i="2"/>
  <c r="G54" i="2"/>
  <c r="G55" i="2"/>
  <c r="T54" i="2"/>
  <c r="T55" i="2"/>
  <c r="M87" i="2"/>
  <c r="G25" i="11" s="1"/>
  <c r="O87" i="2"/>
  <c r="K87" i="2"/>
  <c r="N87" i="2"/>
  <c r="I25" i="11" s="1"/>
  <c r="V87" i="2"/>
  <c r="U87" i="2"/>
  <c r="T87" i="2"/>
  <c r="T85" i="2" s="1"/>
  <c r="H87" i="2"/>
  <c r="H85" i="2" s="1"/>
  <c r="P87" i="2"/>
  <c r="W87" i="2"/>
  <c r="J87" i="2"/>
  <c r="J85" i="2" s="1"/>
  <c r="I87" i="2"/>
  <c r="G86" i="2"/>
  <c r="G87" i="2"/>
  <c r="U58" i="2"/>
  <c r="K58" i="2"/>
  <c r="O58" i="2"/>
  <c r="J8" i="11" s="1"/>
  <c r="N58" i="2"/>
  <c r="I8" i="11" s="1"/>
  <c r="M58" i="2"/>
  <c r="G8" i="11" s="1"/>
  <c r="G58" i="2"/>
  <c r="T58" i="2"/>
  <c r="W58" i="2"/>
  <c r="H58" i="2"/>
  <c r="V58" i="2"/>
  <c r="J58" i="2"/>
  <c r="I58" i="2"/>
  <c r="P58" i="2"/>
  <c r="O8" i="11" s="1"/>
  <c r="K51" i="2"/>
  <c r="H51" i="2"/>
  <c r="I51" i="2"/>
  <c r="P51" i="2"/>
  <c r="O5" i="11" s="1"/>
  <c r="M51" i="2"/>
  <c r="G5" i="11" s="1"/>
  <c r="N51" i="2"/>
  <c r="I5" i="11" s="1"/>
  <c r="O51" i="2"/>
  <c r="J5" i="11" s="1"/>
  <c r="W51" i="2"/>
  <c r="U51" i="2"/>
  <c r="J51" i="2"/>
  <c r="T51" i="2"/>
  <c r="I52" i="2"/>
  <c r="G51" i="2"/>
  <c r="G52" i="2"/>
  <c r="T52" i="2"/>
  <c r="U52" i="2"/>
  <c r="O52" i="2"/>
  <c r="W52" i="2"/>
  <c r="H52" i="2"/>
  <c r="N52" i="2"/>
  <c r="I6" i="11" s="1"/>
  <c r="M52" i="2"/>
  <c r="G6" i="11" s="1"/>
  <c r="J52" i="2"/>
  <c r="K52" i="2"/>
  <c r="G62" i="14"/>
  <c r="L67" i="2"/>
  <c r="F18" i="11" s="1"/>
  <c r="J66" i="2"/>
  <c r="H66" i="2"/>
  <c r="W66" i="2"/>
  <c r="M66" i="2"/>
  <c r="G17" i="11" s="1"/>
  <c r="K66" i="2"/>
  <c r="Z67" i="2"/>
  <c r="N67" i="2"/>
  <c r="I18" i="11" s="1"/>
  <c r="H18" i="11" s="1"/>
  <c r="Z55" i="2"/>
  <c r="K73" i="10"/>
  <c r="K72" i="10" s="1"/>
  <c r="K71" i="10" s="1"/>
  <c r="Q73" i="10"/>
  <c r="Q72" i="10" s="1"/>
  <c r="Q71" i="10" s="1"/>
  <c r="O73" i="10"/>
  <c r="O72" i="10" s="1"/>
  <c r="O71" i="10" s="1"/>
  <c r="G73" i="10"/>
  <c r="G72" i="10" s="1"/>
  <c r="G71" i="10" s="1"/>
  <c r="M73" i="10"/>
  <c r="M72" i="10" s="1"/>
  <c r="M71" i="10" s="1"/>
  <c r="D73" i="10"/>
  <c r="D72" i="10" s="1"/>
  <c r="D71" i="10" s="1"/>
  <c r="N64" i="2"/>
  <c r="I15" i="11" s="1"/>
  <c r="L73" i="10"/>
  <c r="L72" i="10" s="1"/>
  <c r="L71" i="10" s="1"/>
  <c r="O64" i="2"/>
  <c r="J15" i="11" s="1"/>
  <c r="J73" i="10"/>
  <c r="J72" i="10" s="1"/>
  <c r="J71" i="10" s="1"/>
  <c r="H73" i="10"/>
  <c r="H72" i="10" s="1"/>
  <c r="H71" i="10" s="1"/>
  <c r="E73" i="10"/>
  <c r="E72" i="10" s="1"/>
  <c r="E71" i="10" s="1"/>
  <c r="F73" i="10"/>
  <c r="F72" i="10" s="1"/>
  <c r="F71" i="10" s="1"/>
  <c r="N73" i="10"/>
  <c r="N72" i="10" s="1"/>
  <c r="N71" i="10" s="1"/>
  <c r="I71" i="2"/>
  <c r="I69" i="2" s="1"/>
  <c r="T64" i="2"/>
  <c r="T63" i="2" s="1"/>
  <c r="P71" i="2"/>
  <c r="O22" i="11" s="1"/>
  <c r="M6" i="13"/>
  <c r="M5" i="13" s="1"/>
  <c r="M2" i="13" s="1"/>
  <c r="H64" i="2"/>
  <c r="S13" i="10"/>
  <c r="S7" i="10" s="1"/>
  <c r="S6" i="10" s="1"/>
  <c r="L9" i="2"/>
  <c r="H12" i="14" s="1"/>
  <c r="S74" i="10"/>
  <c r="O3" i="13"/>
  <c r="S3" i="13" s="1"/>
  <c r="P2" i="13"/>
  <c r="W64" i="2"/>
  <c r="I64" i="2"/>
  <c r="I63" i="2" s="1"/>
  <c r="U64" i="2"/>
  <c r="U63" i="2" s="1"/>
  <c r="H59" i="10"/>
  <c r="K64" i="2"/>
  <c r="J38" i="2"/>
  <c r="Z27" i="2"/>
  <c r="G64" i="2"/>
  <c r="E43" i="14"/>
  <c r="F43" i="14" s="1"/>
  <c r="P3" i="4"/>
  <c r="N30" i="2"/>
  <c r="N29" i="2" s="1"/>
  <c r="I36" i="10"/>
  <c r="S56" i="10"/>
  <c r="S55" i="10" s="1"/>
  <c r="J33" i="10"/>
  <c r="Z28" i="2"/>
  <c r="Y33" i="2"/>
  <c r="Y30" i="2" s="1"/>
  <c r="Y29" i="2" s="1"/>
  <c r="X33" i="2"/>
  <c r="I32" i="14"/>
  <c r="K32" i="14" s="1"/>
  <c r="G48" i="2"/>
  <c r="N33" i="10"/>
  <c r="N30" i="10" s="1"/>
  <c r="N29" i="10" s="1"/>
  <c r="F7" i="14"/>
  <c r="X83" i="2"/>
  <c r="P5" i="10"/>
  <c r="P4" i="10" s="1"/>
  <c r="K5" i="10"/>
  <c r="K4" i="10" s="1"/>
  <c r="P33" i="10"/>
  <c r="P30" i="10" s="1"/>
  <c r="P29" i="10" s="1"/>
  <c r="H33" i="10"/>
  <c r="H30" i="10" s="1"/>
  <c r="H29" i="10" s="1"/>
  <c r="G59" i="14"/>
  <c r="I56" i="10"/>
  <c r="G61" i="14"/>
  <c r="K35" i="2"/>
  <c r="K34" i="2" s="1"/>
  <c r="F33" i="10"/>
  <c r="F30" i="10" s="1"/>
  <c r="F29" i="10" s="1"/>
  <c r="M64" i="2"/>
  <c r="R13" i="10"/>
  <c r="R7" i="10" s="1"/>
  <c r="R6" i="10" s="1"/>
  <c r="T56" i="10"/>
  <c r="T55" i="10" s="1"/>
  <c r="X19" i="2"/>
  <c r="Y19" i="2"/>
  <c r="T69" i="2"/>
  <c r="L83" i="2"/>
  <c r="F21" i="11" s="1"/>
  <c r="M21" i="11" s="1"/>
  <c r="T13" i="10"/>
  <c r="T7" i="10" s="1"/>
  <c r="T6" i="10" s="1"/>
  <c r="G33" i="10"/>
  <c r="G30" i="10" s="1"/>
  <c r="G29" i="10" s="1"/>
  <c r="D59" i="10"/>
  <c r="Q33" i="10"/>
  <c r="Q30" i="10" s="1"/>
  <c r="Q29" i="10" s="1"/>
  <c r="J24" i="2"/>
  <c r="J23" i="2" s="1"/>
  <c r="J59" i="10"/>
  <c r="G37" i="14"/>
  <c r="G36" i="14" s="1"/>
  <c r="W24" i="2"/>
  <c r="W23" i="2" s="1"/>
  <c r="Z9" i="2"/>
  <c r="R39" i="10"/>
  <c r="T74" i="10"/>
  <c r="P64" i="2"/>
  <c r="O15" i="11" s="1"/>
  <c r="G8" i="14"/>
  <c r="G7" i="14" s="1"/>
  <c r="S16" i="10"/>
  <c r="E5" i="10"/>
  <c r="E4" i="10" s="1"/>
  <c r="E33" i="10"/>
  <c r="E30" i="10" s="1"/>
  <c r="E29" i="10" s="1"/>
  <c r="J64" i="2"/>
  <c r="Q32" i="2"/>
  <c r="H34" i="14"/>
  <c r="J34" i="14" s="1"/>
  <c r="I39" i="14"/>
  <c r="K39" i="14" s="1"/>
  <c r="Q43" i="2"/>
  <c r="H42" i="14"/>
  <c r="J42" i="14" s="1"/>
  <c r="F59" i="10"/>
  <c r="Y37" i="2"/>
  <c r="I38" i="14"/>
  <c r="K38" i="14" s="1"/>
  <c r="K59" i="10"/>
  <c r="Y10" i="2"/>
  <c r="I13" i="14"/>
  <c r="K13" i="14" s="1"/>
  <c r="Y28" i="2"/>
  <c r="I30" i="14"/>
  <c r="K30" i="14" s="1"/>
  <c r="G30" i="2"/>
  <c r="G29" i="2" s="1"/>
  <c r="C31" i="14"/>
  <c r="J30" i="2"/>
  <c r="J29" i="2" s="1"/>
  <c r="Y15" i="2"/>
  <c r="I18" i="14"/>
  <c r="K18" i="14" s="1"/>
  <c r="Y12" i="2"/>
  <c r="I15" i="14"/>
  <c r="K15" i="14" s="1"/>
  <c r="Y9" i="2"/>
  <c r="I12" i="14"/>
  <c r="K12" i="14" s="1"/>
  <c r="S17" i="2"/>
  <c r="H20" i="14"/>
  <c r="J20" i="14" s="1"/>
  <c r="S8" i="2"/>
  <c r="H11" i="14"/>
  <c r="S33" i="2"/>
  <c r="H35" i="14"/>
  <c r="J35" i="14" s="1"/>
  <c r="Q18" i="2"/>
  <c r="H21" i="14"/>
  <c r="J21" i="14" s="1"/>
  <c r="M59" i="10"/>
  <c r="I35" i="2"/>
  <c r="I34" i="2" s="1"/>
  <c r="I30" i="2"/>
  <c r="I29" i="2" s="1"/>
  <c r="G32" i="14"/>
  <c r="G31" i="14" s="1"/>
  <c r="Y22" i="2"/>
  <c r="I25" i="14"/>
  <c r="K25" i="14" s="1"/>
  <c r="Y14" i="2"/>
  <c r="I17" i="14"/>
  <c r="K17" i="14" s="1"/>
  <c r="Y7" i="2"/>
  <c r="I10" i="14"/>
  <c r="K10" i="14" s="1"/>
  <c r="Q16" i="2"/>
  <c r="H19" i="14"/>
  <c r="J19" i="14" s="1"/>
  <c r="I41" i="2"/>
  <c r="G5" i="10"/>
  <c r="G4" i="10" s="1"/>
  <c r="Q21" i="2"/>
  <c r="H24" i="14"/>
  <c r="J24" i="14" s="1"/>
  <c r="Q19" i="2"/>
  <c r="H22" i="14"/>
  <c r="J22" i="14" s="1"/>
  <c r="M5" i="10"/>
  <c r="M4" i="10" s="1"/>
  <c r="L5" i="10"/>
  <c r="L4" i="10" s="1"/>
  <c r="I39" i="2"/>
  <c r="G39" i="2"/>
  <c r="G5" i="2"/>
  <c r="G4" i="2" s="1"/>
  <c r="C7" i="14"/>
  <c r="Y8" i="2"/>
  <c r="I11" i="14"/>
  <c r="K11" i="14" s="1"/>
  <c r="Q59" i="10"/>
  <c r="Q5" i="10"/>
  <c r="Q4" i="10" s="1"/>
  <c r="M33" i="10"/>
  <c r="P24" i="2"/>
  <c r="P23" i="2" s="1"/>
  <c r="O33" i="10"/>
  <c r="O30" i="10" s="1"/>
  <c r="O29" i="10" s="1"/>
  <c r="O5" i="10"/>
  <c r="O4" i="10" s="1"/>
  <c r="U24" i="2"/>
  <c r="U23" i="2" s="1"/>
  <c r="N5" i="10"/>
  <c r="N4" i="10" s="1"/>
  <c r="Z20" i="2"/>
  <c r="Q15" i="2"/>
  <c r="Z13" i="2"/>
  <c r="L28" i="2"/>
  <c r="R28" i="2" s="1"/>
  <c r="Q22" i="2"/>
  <c r="J5" i="10"/>
  <c r="J4" i="10" s="1"/>
  <c r="Y20" i="2"/>
  <c r="Y36" i="2"/>
  <c r="T24" i="2"/>
  <c r="T23" i="2" s="1"/>
  <c r="X11" i="2"/>
  <c r="H5" i="10"/>
  <c r="H4" i="10" s="1"/>
  <c r="O24" i="2"/>
  <c r="O23" i="2" s="1"/>
  <c r="Z25" i="2"/>
  <c r="Y25" i="2"/>
  <c r="X12" i="2"/>
  <c r="Y55" i="2"/>
  <c r="N6" i="13"/>
  <c r="Z66" i="2"/>
  <c r="O41" i="2"/>
  <c r="O38" i="2" s="1"/>
  <c r="Z42" i="2"/>
  <c r="Z41" i="2" s="1"/>
  <c r="O35" i="2"/>
  <c r="O34" i="2" s="1"/>
  <c r="Z36" i="2"/>
  <c r="Z35" i="2" s="1"/>
  <c r="Z34" i="2" s="1"/>
  <c r="X28" i="2"/>
  <c r="X10" i="2"/>
  <c r="Z11" i="2"/>
  <c r="M41" i="2"/>
  <c r="X42" i="2"/>
  <c r="X41" i="2" s="1"/>
  <c r="M30" i="2"/>
  <c r="M29" i="2" s="1"/>
  <c r="X31" i="2"/>
  <c r="Y13" i="2"/>
  <c r="Y11" i="2"/>
  <c r="X25" i="2"/>
  <c r="X9" i="2"/>
  <c r="O30" i="2"/>
  <c r="O29" i="2" s="1"/>
  <c r="Z31" i="2"/>
  <c r="Z30" i="2" s="1"/>
  <c r="Z29" i="2" s="1"/>
  <c r="M39" i="2"/>
  <c r="X40" i="2"/>
  <c r="X39" i="2" s="1"/>
  <c r="X13" i="2"/>
  <c r="X55" i="2"/>
  <c r="X22" i="2"/>
  <c r="X7" i="2"/>
  <c r="N39" i="2"/>
  <c r="Y40" i="2"/>
  <c r="Y39" i="2" s="1"/>
  <c r="Y83" i="2"/>
  <c r="Z83" i="2"/>
  <c r="P59" i="10"/>
  <c r="X20" i="2"/>
  <c r="Z40" i="2"/>
  <c r="Z39" i="2" s="1"/>
  <c r="X15" i="2"/>
  <c r="Z70" i="2"/>
  <c r="N41" i="2"/>
  <c r="Y42" i="2"/>
  <c r="Y41" i="2" s="1"/>
  <c r="M35" i="2"/>
  <c r="M34" i="2" s="1"/>
  <c r="X36" i="2"/>
  <c r="X37" i="2"/>
  <c r="X14" i="2"/>
  <c r="R3" i="13"/>
  <c r="L11" i="2"/>
  <c r="Q7" i="2"/>
  <c r="L26" i="2"/>
  <c r="L13" i="2"/>
  <c r="W69" i="2"/>
  <c r="H38" i="2"/>
  <c r="V69" i="2"/>
  <c r="T38" i="2"/>
  <c r="V38" i="2"/>
  <c r="V5" i="2"/>
  <c r="V4" i="2" s="1"/>
  <c r="W38" i="2"/>
  <c r="U69" i="2"/>
  <c r="L20" i="2"/>
  <c r="L42" i="2"/>
  <c r="L36" i="2"/>
  <c r="U38" i="2"/>
  <c r="Q12" i="2"/>
  <c r="Q10" i="2"/>
  <c r="K69" i="2"/>
  <c r="P35" i="2"/>
  <c r="P34" i="2" s="1"/>
  <c r="K24" i="2"/>
  <c r="K23" i="2" s="1"/>
  <c r="K5" i="2"/>
  <c r="K4" i="2" s="1"/>
  <c r="L70" i="2"/>
  <c r="J5" i="2"/>
  <c r="J4" i="2" s="1"/>
  <c r="I5" i="2"/>
  <c r="I4" i="2" s="1"/>
  <c r="Q14" i="2"/>
  <c r="G35" i="2"/>
  <c r="G34" i="2" s="1"/>
  <c r="G41" i="2"/>
  <c r="O5" i="2"/>
  <c r="O4" i="2" s="1"/>
  <c r="W5" i="2"/>
  <c r="W4" i="2" s="1"/>
  <c r="H69" i="2"/>
  <c r="V24" i="2"/>
  <c r="V23" i="2" s="1"/>
  <c r="P5" i="2"/>
  <c r="P4" i="2" s="1"/>
  <c r="T5" i="2"/>
  <c r="T4" i="2" s="1"/>
  <c r="M5" i="2"/>
  <c r="M4" i="2" s="1"/>
  <c r="L25" i="2"/>
  <c r="Q37" i="2"/>
  <c r="U5" i="2"/>
  <c r="U4" i="2" s="1"/>
  <c r="H5" i="2"/>
  <c r="H4" i="2" s="1"/>
  <c r="N5" i="2"/>
  <c r="N4" i="2" s="1"/>
  <c r="N66" i="2"/>
  <c r="I17" i="11" s="1"/>
  <c r="G50" i="2"/>
  <c r="W54" i="2"/>
  <c r="H55" i="2"/>
  <c r="M86" i="2"/>
  <c r="L33" i="10"/>
  <c r="N27" i="2"/>
  <c r="N70" i="2"/>
  <c r="F5" i="10"/>
  <c r="F4" i="10" s="1"/>
  <c r="J54" i="2"/>
  <c r="I62" i="10"/>
  <c r="K33" i="10"/>
  <c r="K30" i="10" s="1"/>
  <c r="K29" i="10" s="1"/>
  <c r="M27" i="2"/>
  <c r="L31" i="2"/>
  <c r="L40" i="2"/>
  <c r="R32" i="2"/>
  <c r="N35" i="2"/>
  <c r="N34" i="2" s="1"/>
  <c r="E59" i="10"/>
  <c r="K54" i="2"/>
  <c r="I55" i="2"/>
  <c r="D33" i="10"/>
  <c r="D30" i="10" s="1"/>
  <c r="D29" i="10" s="1"/>
  <c r="G27" i="2"/>
  <c r="V54" i="2"/>
  <c r="R16" i="10"/>
  <c r="M71" i="2"/>
  <c r="G22" i="11" s="1"/>
  <c r="I24" i="2"/>
  <c r="I23" i="2" s="1"/>
  <c r="O54" i="2"/>
  <c r="N71" i="2"/>
  <c r="H24" i="2"/>
  <c r="H23" i="2" s="1"/>
  <c r="S15" i="2"/>
  <c r="R10" i="2"/>
  <c r="R22" i="2"/>
  <c r="S21" i="2"/>
  <c r="R37" i="2"/>
  <c r="R19" i="2"/>
  <c r="S19" i="2"/>
  <c r="R17" i="2"/>
  <c r="S18" i="2"/>
  <c r="S37" i="2"/>
  <c r="S12" i="2"/>
  <c r="R21" i="2"/>
  <c r="R15" i="2"/>
  <c r="R16" i="2"/>
  <c r="S43" i="2"/>
  <c r="S32" i="2"/>
  <c r="S22" i="2"/>
  <c r="S16" i="2"/>
  <c r="S10" i="2"/>
  <c r="R14" i="2"/>
  <c r="R8" i="2"/>
  <c r="P38" i="2"/>
  <c r="R7" i="2"/>
  <c r="Q33" i="2"/>
  <c r="R33" i="2"/>
  <c r="S14" i="2"/>
  <c r="R18" i="2"/>
  <c r="R12" i="2"/>
  <c r="P29" i="2"/>
  <c r="S7" i="2"/>
  <c r="R43" i="2"/>
  <c r="Q17" i="2"/>
  <c r="Q8" i="2"/>
  <c r="T39" i="10"/>
  <c r="T51" i="10"/>
  <c r="T50" i="10" s="1"/>
  <c r="T49" i="10" s="1"/>
  <c r="T36" i="10"/>
  <c r="S25" i="10"/>
  <c r="S24" i="10" s="1"/>
  <c r="T16" i="10"/>
  <c r="I25" i="10"/>
  <c r="I24" i="10" s="1"/>
  <c r="E8" i="17" s="1"/>
  <c r="I8" i="17" s="1"/>
  <c r="R36" i="10"/>
  <c r="L59" i="10"/>
  <c r="S36" i="10"/>
  <c r="R74" i="10"/>
  <c r="I13" i="10"/>
  <c r="I7" i="10" s="1"/>
  <c r="I6" i="10" s="1"/>
  <c r="E6" i="17" s="1"/>
  <c r="I6" i="17" s="1"/>
  <c r="R51" i="10"/>
  <c r="R50" i="10" s="1"/>
  <c r="R49" i="10" s="1"/>
  <c r="I74" i="10"/>
  <c r="E24" i="17" s="1"/>
  <c r="I24" i="17" s="1"/>
  <c r="R56" i="10"/>
  <c r="R55" i="10" s="1"/>
  <c r="I39" i="10"/>
  <c r="T25" i="10"/>
  <c r="T24" i="10" s="1"/>
  <c r="S51" i="10"/>
  <c r="S50" i="10" s="1"/>
  <c r="S49" i="10" s="1"/>
  <c r="T62" i="10"/>
  <c r="T59" i="10" s="1"/>
  <c r="R62" i="10"/>
  <c r="R59" i="10" s="1"/>
  <c r="I16" i="10"/>
  <c r="E7" i="17" s="1"/>
  <c r="I7" i="17" s="1"/>
  <c r="I51" i="10"/>
  <c r="I50" i="10" s="1"/>
  <c r="R25" i="10"/>
  <c r="R24" i="10" s="1"/>
  <c r="S39" i="10"/>
  <c r="D5" i="10"/>
  <c r="D4" i="10" s="1"/>
  <c r="S129" i="10" l="1"/>
  <c r="S128" i="10" s="1"/>
  <c r="S116" i="10" s="1"/>
  <c r="T129" i="10"/>
  <c r="R129" i="10"/>
  <c r="R128" i="10" s="1"/>
  <c r="R116" i="10" s="1"/>
  <c r="E22" i="17"/>
  <c r="I22" i="17" s="1"/>
  <c r="I129" i="10"/>
  <c r="I128" i="10" s="1"/>
  <c r="I116" i="10" s="1"/>
  <c r="Z48" i="2"/>
  <c r="X48" i="2"/>
  <c r="X57" i="2"/>
  <c r="I53" i="2"/>
  <c r="I25" i="17"/>
  <c r="I59" i="14"/>
  <c r="K59" i="14" s="1"/>
  <c r="G21" i="17"/>
  <c r="H9" i="14"/>
  <c r="J9" i="14" s="1"/>
  <c r="R6" i="2"/>
  <c r="E27" i="17"/>
  <c r="I27" i="17" s="1"/>
  <c r="S6" i="2"/>
  <c r="V53" i="2"/>
  <c r="V46" i="2" s="1"/>
  <c r="F21" i="17"/>
  <c r="J53" i="2"/>
  <c r="Z57" i="2"/>
  <c r="Y48" i="2"/>
  <c r="I54" i="14"/>
  <c r="K54" i="14" s="1"/>
  <c r="X50" i="2"/>
  <c r="H21" i="17"/>
  <c r="F15" i="17"/>
  <c r="F13" i="17"/>
  <c r="E23" i="17"/>
  <c r="I23" i="17" s="1"/>
  <c r="J30" i="10"/>
  <c r="J29" i="10" s="1"/>
  <c r="J3" i="10" s="1"/>
  <c r="G12" i="17"/>
  <c r="G10" i="17" s="1"/>
  <c r="G9" i="17" s="1"/>
  <c r="G3" i="17" s="1"/>
  <c r="E5" i="17"/>
  <c r="E4" i="17" s="1"/>
  <c r="I59" i="10"/>
  <c r="E19" i="17"/>
  <c r="I49" i="10"/>
  <c r="E14" i="17"/>
  <c r="E13" i="17" s="1"/>
  <c r="L30" i="10"/>
  <c r="L29" i="10" s="1"/>
  <c r="L3" i="10" s="1"/>
  <c r="F12" i="17"/>
  <c r="M30" i="10"/>
  <c r="M29" i="10" s="1"/>
  <c r="M3" i="10" s="1"/>
  <c r="H12" i="17"/>
  <c r="H10" i="17" s="1"/>
  <c r="H9" i="17" s="1"/>
  <c r="H3" i="17" s="1"/>
  <c r="I55" i="10"/>
  <c r="E16" i="17"/>
  <c r="E15" i="17" s="1"/>
  <c r="Y57" i="2"/>
  <c r="H8" i="11"/>
  <c r="K53" i="2"/>
  <c r="W53" i="2"/>
  <c r="H25" i="11"/>
  <c r="H2" i="11"/>
  <c r="I22" i="11"/>
  <c r="H22" i="11" s="1"/>
  <c r="H17" i="11"/>
  <c r="H6" i="11"/>
  <c r="H5" i="11"/>
  <c r="H53" i="2"/>
  <c r="T128" i="10"/>
  <c r="T116" i="10" s="1"/>
  <c r="G53" i="2"/>
  <c r="P53" i="2"/>
  <c r="J13" i="11"/>
  <c r="O53" i="2"/>
  <c r="T53" i="2"/>
  <c r="U53" i="2"/>
  <c r="M53" i="2"/>
  <c r="L18" i="11"/>
  <c r="M85" i="2"/>
  <c r="M84" i="2" s="1"/>
  <c r="G24" i="11"/>
  <c r="H24" i="11" s="1"/>
  <c r="M63" i="2"/>
  <c r="G15" i="11"/>
  <c r="H15" i="11" s="1"/>
  <c r="K18" i="11"/>
  <c r="Z52" i="2"/>
  <c r="J6" i="11"/>
  <c r="N85" i="2"/>
  <c r="N84" i="2" s="1"/>
  <c r="L21" i="11"/>
  <c r="Q82" i="2"/>
  <c r="F20" i="11"/>
  <c r="R57" i="2"/>
  <c r="F7" i="11"/>
  <c r="K21" i="11"/>
  <c r="O85" i="2"/>
  <c r="O84" i="2" s="1"/>
  <c r="J25" i="11"/>
  <c r="Z82" i="2"/>
  <c r="J20" i="11"/>
  <c r="P85" i="2"/>
  <c r="P84" i="2" s="1"/>
  <c r="O25" i="11"/>
  <c r="O27" i="11" s="1"/>
  <c r="X82" i="2"/>
  <c r="G20" i="11"/>
  <c r="H20" i="11" s="1"/>
  <c r="M18" i="11"/>
  <c r="S57" i="2"/>
  <c r="Q57" i="2"/>
  <c r="R82" i="2"/>
  <c r="Y82" i="2"/>
  <c r="O69" i="2"/>
  <c r="S82" i="2"/>
  <c r="J63" i="2"/>
  <c r="J47" i="2"/>
  <c r="W63" i="2"/>
  <c r="T47" i="2"/>
  <c r="N47" i="2"/>
  <c r="K47" i="2"/>
  <c r="M47" i="2"/>
  <c r="I47" i="2"/>
  <c r="L86" i="2"/>
  <c r="G85" i="2"/>
  <c r="G84" i="2" s="1"/>
  <c r="T84" i="2"/>
  <c r="H47" i="2"/>
  <c r="U47" i="2"/>
  <c r="W47" i="2"/>
  <c r="J84" i="2"/>
  <c r="I85" i="2"/>
  <c r="I84" i="2" s="1"/>
  <c r="V85" i="2"/>
  <c r="V84" i="2" s="1"/>
  <c r="P47" i="2"/>
  <c r="U85" i="2"/>
  <c r="U84" i="2" s="1"/>
  <c r="W85" i="2"/>
  <c r="W84" i="2" s="1"/>
  <c r="K85" i="2"/>
  <c r="K84" i="2" s="1"/>
  <c r="O47" i="2"/>
  <c r="H63" i="2"/>
  <c r="K63" i="2"/>
  <c r="P63" i="2"/>
  <c r="G56" i="14"/>
  <c r="G63" i="2"/>
  <c r="O63" i="2"/>
  <c r="N63" i="2"/>
  <c r="G54" i="14"/>
  <c r="G47" i="2"/>
  <c r="Z50" i="2"/>
  <c r="Y50" i="2"/>
  <c r="X87" i="2"/>
  <c r="G58" i="14"/>
  <c r="Z58" i="2"/>
  <c r="G6" i="13"/>
  <c r="G60" i="14"/>
  <c r="Z87" i="2"/>
  <c r="H84" i="2"/>
  <c r="L87" i="2"/>
  <c r="Y87" i="2"/>
  <c r="Y85" i="2" s="1"/>
  <c r="Y58" i="2"/>
  <c r="I58" i="14"/>
  <c r="K58" i="14" s="1"/>
  <c r="L58" i="2"/>
  <c r="F8" i="11" s="1"/>
  <c r="X58" i="2"/>
  <c r="I57" i="14"/>
  <c r="K57" i="14" s="1"/>
  <c r="G57" i="14"/>
  <c r="Y52" i="2"/>
  <c r="R9" i="2"/>
  <c r="Y51" i="2"/>
  <c r="X51" i="2"/>
  <c r="G55" i="14"/>
  <c r="L51" i="2"/>
  <c r="F5" i="11" s="1"/>
  <c r="M5" i="11" s="1"/>
  <c r="S67" i="2"/>
  <c r="I55" i="14"/>
  <c r="K55" i="14" s="1"/>
  <c r="S9" i="2"/>
  <c r="X52" i="2"/>
  <c r="L52" i="2"/>
  <c r="F6" i="11" s="1"/>
  <c r="I33" i="10"/>
  <c r="X67" i="2"/>
  <c r="R67" i="2"/>
  <c r="I62" i="14"/>
  <c r="K62" i="14" s="1"/>
  <c r="Q67" i="2"/>
  <c r="Y67" i="2"/>
  <c r="L66" i="2"/>
  <c r="X64" i="2"/>
  <c r="Y64" i="2"/>
  <c r="I56" i="14"/>
  <c r="K56" i="14" s="1"/>
  <c r="S73" i="10"/>
  <c r="S72" i="10" s="1"/>
  <c r="S71" i="10" s="1"/>
  <c r="I73" i="10"/>
  <c r="I72" i="10" s="1"/>
  <c r="I71" i="10" s="1"/>
  <c r="R73" i="10"/>
  <c r="R72" i="10" s="1"/>
  <c r="R71" i="10" s="1"/>
  <c r="T73" i="10"/>
  <c r="T72" i="10" s="1"/>
  <c r="T71" i="10" s="1"/>
  <c r="D70" i="10"/>
  <c r="D69" i="10" s="1"/>
  <c r="D68" i="10" s="1"/>
  <c r="D67" i="10" s="1"/>
  <c r="M70" i="10"/>
  <c r="M69" i="10" s="1"/>
  <c r="M68" i="10" s="1"/>
  <c r="M67" i="10" s="1"/>
  <c r="O2" i="13"/>
  <c r="E70" i="10"/>
  <c r="E69" i="10" s="1"/>
  <c r="E68" i="10" s="1"/>
  <c r="E67" i="10" s="1"/>
  <c r="F70" i="10"/>
  <c r="F69" i="10" s="1"/>
  <c r="F68" i="10" s="1"/>
  <c r="F67" i="10" s="1"/>
  <c r="Q70" i="10"/>
  <c r="Q69" i="10" s="1"/>
  <c r="Q68" i="10" s="1"/>
  <c r="Q67" i="10" s="1"/>
  <c r="P70" i="10"/>
  <c r="P69" i="10" s="1"/>
  <c r="P68" i="10" s="1"/>
  <c r="P67" i="10" s="1"/>
  <c r="H70" i="10"/>
  <c r="H69" i="10" s="1"/>
  <c r="H68" i="10" s="1"/>
  <c r="H67" i="10" s="1"/>
  <c r="O70" i="10"/>
  <c r="O69" i="10" s="1"/>
  <c r="O68" i="10" s="1"/>
  <c r="O67" i="10" s="1"/>
  <c r="J70" i="10"/>
  <c r="J69" i="10" s="1"/>
  <c r="J68" i="10" s="1"/>
  <c r="J67" i="10" s="1"/>
  <c r="N70" i="10"/>
  <c r="N69" i="10" s="1"/>
  <c r="N68" i="10" s="1"/>
  <c r="N67" i="10" s="1"/>
  <c r="G70" i="10"/>
  <c r="G69" i="10" s="1"/>
  <c r="G68" i="10" s="1"/>
  <c r="G67" i="10" s="1"/>
  <c r="K70" i="10"/>
  <c r="K69" i="10" s="1"/>
  <c r="K68" i="10" s="1"/>
  <c r="K67" i="10" s="1"/>
  <c r="L71" i="2"/>
  <c r="H61" i="14" s="1"/>
  <c r="P69" i="2"/>
  <c r="Z71" i="2"/>
  <c r="I38" i="2"/>
  <c r="I3" i="2" s="1"/>
  <c r="Q9" i="2"/>
  <c r="R33" i="10"/>
  <c r="R30" i="10" s="1"/>
  <c r="R29" i="10" s="1"/>
  <c r="N3" i="10"/>
  <c r="X30" i="2"/>
  <c r="X29" i="2" s="1"/>
  <c r="Z24" i="2"/>
  <c r="Z23" i="2" s="1"/>
  <c r="L48" i="2"/>
  <c r="F2" i="11" s="1"/>
  <c r="I31" i="14"/>
  <c r="K31" i="14" s="1"/>
  <c r="J17" i="14"/>
  <c r="J12" i="14"/>
  <c r="J38" i="14"/>
  <c r="J15" i="14"/>
  <c r="J25" i="14"/>
  <c r="J10" i="14"/>
  <c r="G38" i="2"/>
  <c r="J11" i="14"/>
  <c r="J13" i="14"/>
  <c r="J18" i="14"/>
  <c r="C43" i="14"/>
  <c r="E66" i="14"/>
  <c r="D66" i="14"/>
  <c r="H3" i="10"/>
  <c r="H59" i="14"/>
  <c r="Y35" i="2"/>
  <c r="Y34" i="2" s="1"/>
  <c r="S28" i="2"/>
  <c r="R83" i="2"/>
  <c r="S83" i="2"/>
  <c r="G3" i="10"/>
  <c r="Q83" i="2"/>
  <c r="L64" i="2"/>
  <c r="F15" i="11" s="1"/>
  <c r="L15" i="11" s="1"/>
  <c r="F3" i="10"/>
  <c r="Z64" i="2"/>
  <c r="Z63" i="2" s="1"/>
  <c r="J3" i="2"/>
  <c r="G29" i="14"/>
  <c r="G26" i="14" s="1"/>
  <c r="X70" i="2"/>
  <c r="I61" i="14"/>
  <c r="K61" i="14" s="1"/>
  <c r="E3" i="10"/>
  <c r="Q3" i="10"/>
  <c r="P3" i="10"/>
  <c r="I36" i="14"/>
  <c r="K36" i="14" s="1"/>
  <c r="R36" i="2"/>
  <c r="H37" i="14"/>
  <c r="J37" i="14" s="1"/>
  <c r="S42" i="2"/>
  <c r="H41" i="14"/>
  <c r="J41" i="14" s="1"/>
  <c r="S20" i="2"/>
  <c r="H23" i="14"/>
  <c r="J23" i="14" s="1"/>
  <c r="Q13" i="2"/>
  <c r="H16" i="14"/>
  <c r="J16" i="14" s="1"/>
  <c r="I8" i="14"/>
  <c r="K8" i="14" s="1"/>
  <c r="L30" i="2"/>
  <c r="L29" i="2" s="1"/>
  <c r="R29" i="2" s="1"/>
  <c r="H33" i="14"/>
  <c r="J33" i="14" s="1"/>
  <c r="Q26" i="2"/>
  <c r="H28" i="14"/>
  <c r="J28" i="14" s="1"/>
  <c r="G39" i="14"/>
  <c r="S40" i="2"/>
  <c r="H40" i="14"/>
  <c r="J40" i="14" s="1"/>
  <c r="S25" i="2"/>
  <c r="H27" i="14"/>
  <c r="J27" i="14" s="1"/>
  <c r="K3" i="10"/>
  <c r="Y27" i="2"/>
  <c r="Y24" i="2" s="1"/>
  <c r="Y23" i="2" s="1"/>
  <c r="I29" i="14"/>
  <c r="K29" i="14" s="1"/>
  <c r="S11" i="2"/>
  <c r="H14" i="14"/>
  <c r="J14" i="14" s="1"/>
  <c r="Q28" i="2"/>
  <c r="H30" i="14"/>
  <c r="J30" i="14" s="1"/>
  <c r="O3" i="10"/>
  <c r="X35" i="2"/>
  <c r="X34" i="2" s="1"/>
  <c r="Z5" i="2"/>
  <c r="Z4" i="2" s="1"/>
  <c r="T5" i="10"/>
  <c r="T4" i="10" s="1"/>
  <c r="Y5" i="2"/>
  <c r="Y4" i="2" s="1"/>
  <c r="N38" i="2"/>
  <c r="X5" i="2"/>
  <c r="X4" i="2" s="1"/>
  <c r="M38" i="2"/>
  <c r="O3" i="2"/>
  <c r="R42" i="2"/>
  <c r="L35" i="2"/>
  <c r="R35" i="2" s="1"/>
  <c r="Q11" i="2"/>
  <c r="L41" i="2"/>
  <c r="S41" i="2" s="1"/>
  <c r="S26" i="2"/>
  <c r="R11" i="2"/>
  <c r="Q42" i="2"/>
  <c r="Q41" i="2" s="1"/>
  <c r="Y66" i="2"/>
  <c r="X66" i="2"/>
  <c r="X38" i="2"/>
  <c r="N5" i="13"/>
  <c r="S33" i="10"/>
  <c r="S30" i="10" s="1"/>
  <c r="S29" i="10" s="1"/>
  <c r="Y71" i="2"/>
  <c r="Z51" i="2"/>
  <c r="Y38" i="2"/>
  <c r="M69" i="2"/>
  <c r="X71" i="2"/>
  <c r="X86" i="2"/>
  <c r="Z38" i="2"/>
  <c r="Z54" i="2"/>
  <c r="M24" i="2"/>
  <c r="M23" i="2" s="1"/>
  <c r="X27" i="2"/>
  <c r="X24" i="2" s="1"/>
  <c r="X23" i="2" s="1"/>
  <c r="Y70" i="2"/>
  <c r="S70" i="2"/>
  <c r="R26" i="2"/>
  <c r="R25" i="2"/>
  <c r="S13" i="2"/>
  <c r="R13" i="2"/>
  <c r="Q25" i="2"/>
  <c r="T3" i="2"/>
  <c r="U3" i="2"/>
  <c r="H3" i="2"/>
  <c r="L39" i="2"/>
  <c r="R39" i="2" s="1"/>
  <c r="V3" i="2"/>
  <c r="L5" i="2"/>
  <c r="L4" i="2" s="1"/>
  <c r="Q70" i="2"/>
  <c r="K3" i="2"/>
  <c r="R20" i="2"/>
  <c r="W3" i="2"/>
  <c r="Q36" i="2"/>
  <c r="Q35" i="2" s="1"/>
  <c r="Q34" i="2" s="1"/>
  <c r="S36" i="2"/>
  <c r="Q20" i="2"/>
  <c r="N69" i="2"/>
  <c r="Q40" i="2"/>
  <c r="Q39" i="2" s="1"/>
  <c r="S31" i="2"/>
  <c r="R40" i="2"/>
  <c r="R70" i="2"/>
  <c r="G24" i="2"/>
  <c r="G23" i="2" s="1"/>
  <c r="L27" i="2"/>
  <c r="H29" i="14" s="1"/>
  <c r="N24" i="2"/>
  <c r="N23" i="2" s="1"/>
  <c r="L54" i="2"/>
  <c r="L55" i="2"/>
  <c r="L50" i="2"/>
  <c r="F4" i="11" s="1"/>
  <c r="R5" i="10"/>
  <c r="R4" i="10" s="1"/>
  <c r="N54" i="2"/>
  <c r="Q31" i="2"/>
  <c r="Q30" i="2" s="1"/>
  <c r="Q29" i="2" s="1"/>
  <c r="R31" i="2"/>
  <c r="S5" i="10"/>
  <c r="S4" i="10" s="1"/>
  <c r="P3" i="2"/>
  <c r="T33" i="10"/>
  <c r="T30" i="10" s="1"/>
  <c r="T29" i="10" s="1"/>
  <c r="D3" i="10"/>
  <c r="I5" i="10"/>
  <c r="I4" i="10" s="1"/>
  <c r="G2" i="17" l="1"/>
  <c r="J59" i="14"/>
  <c r="H2" i="17"/>
  <c r="I30" i="10"/>
  <c r="I29" i="10" s="1"/>
  <c r="I3" i="10" s="1"/>
  <c r="E12" i="17"/>
  <c r="E10" i="17" s="1"/>
  <c r="E9" i="17" s="1"/>
  <c r="I14" i="17"/>
  <c r="E17" i="17"/>
  <c r="I19" i="17"/>
  <c r="I16" i="17"/>
  <c r="F10" i="17"/>
  <c r="F9" i="17" s="1"/>
  <c r="F3" i="17" s="1"/>
  <c r="F2" i="17" s="1"/>
  <c r="E21" i="17"/>
  <c r="Z53" i="2"/>
  <c r="N53" i="2"/>
  <c r="N46" i="2" s="1"/>
  <c r="N45" i="2" s="1"/>
  <c r="N44" i="2" s="1"/>
  <c r="I13" i="11"/>
  <c r="H13" i="11" s="1"/>
  <c r="L53" i="2"/>
  <c r="Z69" i="2"/>
  <c r="M20" i="11"/>
  <c r="G27" i="11"/>
  <c r="K8" i="11"/>
  <c r="M8" i="11"/>
  <c r="J27" i="11"/>
  <c r="K20" i="11"/>
  <c r="N20" i="11" s="1"/>
  <c r="L20" i="11"/>
  <c r="K15" i="11"/>
  <c r="N15" i="11" s="1"/>
  <c r="K2" i="11"/>
  <c r="S87" i="2"/>
  <c r="F25" i="11"/>
  <c r="M25" i="11" s="1"/>
  <c r="L5" i="11"/>
  <c r="L8" i="11"/>
  <c r="F22" i="11"/>
  <c r="L22" i="11" s="1"/>
  <c r="M6" i="11"/>
  <c r="K4" i="11"/>
  <c r="L4" i="11"/>
  <c r="K6" i="11"/>
  <c r="M15" i="11"/>
  <c r="K7" i="11"/>
  <c r="L7" i="11"/>
  <c r="M7" i="11"/>
  <c r="M4" i="11"/>
  <c r="I60" i="14"/>
  <c r="I64" i="14" s="1"/>
  <c r="K64" i="14" s="1"/>
  <c r="F13" i="11"/>
  <c r="H62" i="14"/>
  <c r="J62" i="14" s="1"/>
  <c r="F17" i="11"/>
  <c r="K5" i="11"/>
  <c r="S86" i="2"/>
  <c r="F24" i="11"/>
  <c r="L6" i="11"/>
  <c r="Q86" i="2"/>
  <c r="X47" i="2"/>
  <c r="Y47" i="2"/>
  <c r="Z47" i="2"/>
  <c r="L47" i="2"/>
  <c r="X85" i="2"/>
  <c r="X84" i="2" s="1"/>
  <c r="Y84" i="2"/>
  <c r="V45" i="2"/>
  <c r="V44" i="2" s="1"/>
  <c r="V2" i="2" s="1"/>
  <c r="Z85" i="2"/>
  <c r="Z84" i="2" s="1"/>
  <c r="R86" i="2"/>
  <c r="L85" i="2"/>
  <c r="L84" i="2" s="1"/>
  <c r="S84" i="2" s="1"/>
  <c r="Y63" i="2"/>
  <c r="I46" i="2"/>
  <c r="I45" i="2" s="1"/>
  <c r="I44" i="2" s="1"/>
  <c r="I2" i="2" s="1"/>
  <c r="H56" i="14"/>
  <c r="J56" i="14" s="1"/>
  <c r="L63" i="2"/>
  <c r="S63" i="2" s="1"/>
  <c r="X63" i="2"/>
  <c r="U46" i="2"/>
  <c r="U45" i="2" s="1"/>
  <c r="U44" i="2" s="1"/>
  <c r="U2" i="2" s="1"/>
  <c r="T46" i="2"/>
  <c r="T45" i="2" s="1"/>
  <c r="T44" i="2" s="1"/>
  <c r="T2" i="2" s="1"/>
  <c r="Q48" i="2"/>
  <c r="G64" i="14"/>
  <c r="W46" i="2"/>
  <c r="W45" i="2" s="1"/>
  <c r="W44" i="2" s="1"/>
  <c r="W2" i="2" s="1"/>
  <c r="L6" i="13"/>
  <c r="G5" i="13"/>
  <c r="G2" i="13" s="1"/>
  <c r="J46" i="2"/>
  <c r="R87" i="2"/>
  <c r="Q87" i="2"/>
  <c r="H58" i="14"/>
  <c r="J58" i="14" s="1"/>
  <c r="H46" i="2"/>
  <c r="H45" i="2" s="1"/>
  <c r="H44" i="2" s="1"/>
  <c r="H2" i="2" s="1"/>
  <c r="R58" i="2"/>
  <c r="Q58" i="2"/>
  <c r="S58" i="2"/>
  <c r="S51" i="2"/>
  <c r="Q66" i="2"/>
  <c r="Q51" i="2"/>
  <c r="R51" i="2"/>
  <c r="H57" i="14"/>
  <c r="J57" i="14" s="1"/>
  <c r="K46" i="2"/>
  <c r="K45" i="2" s="1"/>
  <c r="K44" i="2" s="1"/>
  <c r="K2" i="2" s="1"/>
  <c r="S66" i="2"/>
  <c r="R66" i="2"/>
  <c r="R52" i="2"/>
  <c r="Q52" i="2"/>
  <c r="S52" i="2"/>
  <c r="Q71" i="2"/>
  <c r="Q69" i="2" s="1"/>
  <c r="O46" i="2"/>
  <c r="O45" i="2" s="1"/>
  <c r="O44" i="2" s="1"/>
  <c r="T70" i="10"/>
  <c r="T69" i="10" s="1"/>
  <c r="T68" i="10" s="1"/>
  <c r="T67" i="10" s="1"/>
  <c r="S70" i="10"/>
  <c r="S69" i="10" s="1"/>
  <c r="R3" i="10"/>
  <c r="R71" i="2"/>
  <c r="L70" i="10"/>
  <c r="L69" i="10" s="1"/>
  <c r="L68" i="10" s="1"/>
  <c r="L67" i="10" s="1"/>
  <c r="L2" i="10" s="1"/>
  <c r="R70" i="10"/>
  <c r="R69" i="10" s="1"/>
  <c r="R68" i="10" s="1"/>
  <c r="R67" i="10" s="1"/>
  <c r="I70" i="10"/>
  <c r="I69" i="10" s="1"/>
  <c r="I68" i="10" s="1"/>
  <c r="I67" i="10" s="1"/>
  <c r="G46" i="2"/>
  <c r="G45" i="2" s="1"/>
  <c r="G44" i="2" s="1"/>
  <c r="L69" i="2"/>
  <c r="S69" i="2" s="1"/>
  <c r="S71" i="2"/>
  <c r="N2" i="10"/>
  <c r="M46" i="2"/>
  <c r="M45" i="2" s="1"/>
  <c r="M44" i="2" s="1"/>
  <c r="S48" i="2"/>
  <c r="F2" i="10"/>
  <c r="R48" i="2"/>
  <c r="H54" i="14"/>
  <c r="J54" i="14" s="1"/>
  <c r="G3" i="2"/>
  <c r="G2" i="10"/>
  <c r="S29" i="2"/>
  <c r="S30" i="2"/>
  <c r="J29" i="14"/>
  <c r="J61" i="14"/>
  <c r="J2" i="10"/>
  <c r="C66" i="14"/>
  <c r="F66" i="14"/>
  <c r="M2" i="10"/>
  <c r="H2" i="10"/>
  <c r="X69" i="2"/>
  <c r="R64" i="2"/>
  <c r="S64" i="2"/>
  <c r="Q64" i="2"/>
  <c r="R30" i="2"/>
  <c r="P46" i="2"/>
  <c r="P45" i="2" s="1"/>
  <c r="P44" i="2" s="1"/>
  <c r="P2" i="2" s="1"/>
  <c r="D2" i="10"/>
  <c r="E2" i="10"/>
  <c r="P2" i="10"/>
  <c r="H55" i="14"/>
  <c r="J55" i="14" s="1"/>
  <c r="Q2" i="10"/>
  <c r="G43" i="14"/>
  <c r="H60" i="14"/>
  <c r="H8" i="14"/>
  <c r="H32" i="14"/>
  <c r="J32" i="14" s="1"/>
  <c r="O2" i="10"/>
  <c r="H26" i="14"/>
  <c r="H36" i="14"/>
  <c r="J36" i="14" s="1"/>
  <c r="Y69" i="2"/>
  <c r="K2" i="10"/>
  <c r="I26" i="14"/>
  <c r="K26" i="14" s="1"/>
  <c r="H39" i="14"/>
  <c r="J39" i="14" s="1"/>
  <c r="I7" i="14"/>
  <c r="K7" i="14" s="1"/>
  <c r="T3" i="10"/>
  <c r="Z3" i="2"/>
  <c r="N3" i="2"/>
  <c r="S3" i="10"/>
  <c r="X3" i="2"/>
  <c r="Y3" i="2"/>
  <c r="Q5" i="2"/>
  <c r="Q4" i="2" s="1"/>
  <c r="M3" i="2"/>
  <c r="S35" i="2"/>
  <c r="L34" i="2"/>
  <c r="R34" i="2" s="1"/>
  <c r="R41" i="2"/>
  <c r="Q38" i="2"/>
  <c r="N2" i="13"/>
  <c r="Y54" i="2"/>
  <c r="Y53" i="2" s="1"/>
  <c r="X54" i="2"/>
  <c r="X53" i="2" s="1"/>
  <c r="L38" i="2"/>
  <c r="R38" i="2" s="1"/>
  <c r="S39" i="2"/>
  <c r="S5" i="2"/>
  <c r="R5" i="2"/>
  <c r="R54" i="2"/>
  <c r="S55" i="2"/>
  <c r="R55" i="2"/>
  <c r="Q55" i="2"/>
  <c r="Q54" i="2"/>
  <c r="S54" i="2"/>
  <c r="S27" i="2"/>
  <c r="Q27" i="2"/>
  <c r="Q24" i="2" s="1"/>
  <c r="Q23" i="2" s="1"/>
  <c r="L24" i="2"/>
  <c r="Q50" i="2"/>
  <c r="S50" i="2"/>
  <c r="R50" i="2"/>
  <c r="R27" i="2"/>
  <c r="R4" i="2"/>
  <c r="S4" i="2"/>
  <c r="E3" i="17" l="1"/>
  <c r="E2" i="17" s="1"/>
  <c r="I2" i="17" s="1"/>
  <c r="I12" i="17"/>
  <c r="N7" i="11"/>
  <c r="Q53" i="2"/>
  <c r="O2" i="2"/>
  <c r="J60" i="14"/>
  <c r="K60" i="14"/>
  <c r="L25" i="11"/>
  <c r="K13" i="11"/>
  <c r="N13" i="11" s="1"/>
  <c r="M13" i="11"/>
  <c r="L13" i="11"/>
  <c r="I27" i="11"/>
  <c r="K24" i="11"/>
  <c r="L24" i="11"/>
  <c r="M24" i="11"/>
  <c r="K17" i="11"/>
  <c r="N17" i="11" s="1"/>
  <c r="M17" i="11"/>
  <c r="L17" i="11"/>
  <c r="K25" i="11"/>
  <c r="F27" i="11"/>
  <c r="K22" i="11"/>
  <c r="N22" i="11" s="1"/>
  <c r="M22" i="11"/>
  <c r="J45" i="2"/>
  <c r="J44" i="2" s="1"/>
  <c r="J2" i="2" s="1"/>
  <c r="Q85" i="2"/>
  <c r="Q84" i="2" s="1"/>
  <c r="Q47" i="2"/>
  <c r="Q63" i="2"/>
  <c r="G66" i="14"/>
  <c r="Z46" i="2"/>
  <c r="Z45" i="2" s="1"/>
  <c r="Z44" i="2" s="1"/>
  <c r="Z2" i="2" s="1"/>
  <c r="S85" i="2"/>
  <c r="R85" i="2"/>
  <c r="M27" i="11"/>
  <c r="I2" i="10"/>
  <c r="R2" i="10"/>
  <c r="S6" i="13"/>
  <c r="L5" i="13"/>
  <c r="Q6" i="13"/>
  <c r="Q5" i="13" s="1"/>
  <c r="Q2" i="13" s="1"/>
  <c r="R6" i="13"/>
  <c r="R84" i="2"/>
  <c r="S68" i="10"/>
  <c r="S67" i="10" s="1"/>
  <c r="S2" i="10" s="1"/>
  <c r="G2" i="2"/>
  <c r="R69" i="2"/>
  <c r="R63" i="2"/>
  <c r="N2" i="11"/>
  <c r="L2" i="11"/>
  <c r="M2" i="11"/>
  <c r="X46" i="2"/>
  <c r="X45" i="2" s="1"/>
  <c r="X44" i="2" s="1"/>
  <c r="X2" i="2" s="1"/>
  <c r="H64" i="14"/>
  <c r="J64" i="14" s="1"/>
  <c r="J26" i="14"/>
  <c r="H7" i="14"/>
  <c r="J7" i="14" s="1"/>
  <c r="J8" i="14"/>
  <c r="T2" i="10"/>
  <c r="N4" i="11"/>
  <c r="Y46" i="2"/>
  <c r="Y45" i="2" s="1"/>
  <c r="Y44" i="2" s="1"/>
  <c r="Y2" i="2" s="1"/>
  <c r="I43" i="14"/>
  <c r="H31" i="14"/>
  <c r="J31" i="14" s="1"/>
  <c r="M2" i="2"/>
  <c r="S34" i="2"/>
  <c r="Q3" i="2"/>
  <c r="S38" i="2"/>
  <c r="L46" i="2"/>
  <c r="R46" i="2" s="1"/>
  <c r="R47" i="2"/>
  <c r="S47" i="2"/>
  <c r="R53" i="2"/>
  <c r="S53" i="2"/>
  <c r="S24" i="2"/>
  <c r="L23" i="2"/>
  <c r="R24" i="2"/>
  <c r="N2" i="2"/>
  <c r="L27" i="11" l="1"/>
  <c r="N24" i="11"/>
  <c r="N27" i="11" s="1"/>
  <c r="H27" i="11"/>
  <c r="K27" i="11"/>
  <c r="Q46" i="2"/>
  <c r="Q45" i="2" s="1"/>
  <c r="Q44" i="2" s="1"/>
  <c r="Q2" i="2" s="1"/>
  <c r="L2" i="13"/>
  <c r="S5" i="13"/>
  <c r="R5" i="13"/>
  <c r="K43" i="14"/>
  <c r="I66" i="14"/>
  <c r="K66" i="14" s="1"/>
  <c r="H43" i="14"/>
  <c r="S23" i="2"/>
  <c r="L3" i="2"/>
  <c r="R23" i="2"/>
  <c r="L45" i="2"/>
  <c r="S46" i="2"/>
  <c r="S2" i="13" l="1"/>
  <c r="R2" i="13"/>
  <c r="H66" i="14"/>
  <c r="J66" i="14" s="1"/>
  <c r="J43" i="14"/>
  <c r="R45" i="2"/>
  <c r="L44" i="2"/>
  <c r="L2" i="2" s="1"/>
  <c r="S45" i="2"/>
  <c r="R3" i="2"/>
  <c r="S3" i="2"/>
  <c r="S2" i="2" l="1"/>
  <c r="R2" i="2"/>
  <c r="S44" i="2"/>
  <c r="R44" i="2"/>
  <c r="C200" i="10" l="1"/>
  <c r="C197" i="10"/>
  <c r="C174" i="10"/>
  <c r="C169" i="10" s="1"/>
  <c r="C109" i="10"/>
  <c r="C104" i="10" s="1"/>
  <c r="C96" i="10"/>
  <c r="C95" i="10" s="1"/>
  <c r="C72" i="10"/>
  <c r="C71" i="10" s="1"/>
  <c r="C64" i="10"/>
  <c r="C63" i="10" s="1"/>
  <c r="C62" i="10" s="1"/>
  <c r="C60" i="10"/>
  <c r="C57" i="10"/>
  <c r="C56" i="10" s="1"/>
  <c r="C55" i="10" s="1"/>
  <c r="C51" i="10"/>
  <c r="C50" i="10" s="1"/>
  <c r="C49" i="10" s="1"/>
  <c r="C48" i="10"/>
  <c r="C41" i="10"/>
  <c r="C36" i="10"/>
  <c r="C34" i="10"/>
  <c r="C31" i="10"/>
  <c r="C26" i="10"/>
  <c r="C25" i="10" s="1"/>
  <c r="C24" i="10" s="1"/>
  <c r="C23" i="10"/>
  <c r="C19" i="10"/>
  <c r="C17" i="10"/>
  <c r="C13" i="10"/>
  <c r="C8" i="10"/>
  <c r="C195" i="10" l="1"/>
  <c r="C129" i="10" s="1"/>
  <c r="C88" i="10"/>
  <c r="C87" i="10" s="1"/>
  <c r="C103" i="10"/>
  <c r="C102" i="10" s="1"/>
  <c r="C7" i="10"/>
  <c r="C6" i="10" s="1"/>
  <c r="C59" i="10"/>
  <c r="C16" i="10"/>
  <c r="C39" i="10"/>
  <c r="C33" i="10" s="1"/>
  <c r="C30" i="10" s="1"/>
  <c r="C29" i="10" s="1"/>
  <c r="C128" i="10" l="1"/>
  <c r="C116" i="10" s="1"/>
  <c r="C101" i="10"/>
  <c r="C100" i="10" s="1"/>
  <c r="C70" i="10" s="1"/>
  <c r="C69" i="10" s="1"/>
  <c r="C5" i="10"/>
  <c r="C4" i="10" s="1"/>
  <c r="C3" i="10" s="1"/>
  <c r="F2" i="8"/>
  <c r="G5" i="8"/>
  <c r="H5" i="8"/>
  <c r="I5" i="8"/>
  <c r="J5" i="8"/>
  <c r="K5" i="8"/>
  <c r="L5" i="8"/>
  <c r="M5" i="8"/>
  <c r="N5" i="8"/>
  <c r="O5" i="8"/>
  <c r="U5" i="8"/>
  <c r="G6" i="8"/>
  <c r="H6" i="8"/>
  <c r="I6" i="8"/>
  <c r="J6" i="8"/>
  <c r="K6" i="8"/>
  <c r="L6" i="8"/>
  <c r="M6" i="8"/>
  <c r="N6" i="8"/>
  <c r="O6" i="8"/>
  <c r="U6" i="8"/>
  <c r="G7" i="8"/>
  <c r="H7" i="8"/>
  <c r="I7" i="8"/>
  <c r="J7" i="8"/>
  <c r="K7" i="8"/>
  <c r="L7" i="8"/>
  <c r="M7" i="8"/>
  <c r="N7" i="8"/>
  <c r="O7" i="8"/>
  <c r="U7" i="8"/>
  <c r="G8" i="8"/>
  <c r="H8" i="8"/>
  <c r="I8" i="8"/>
  <c r="J8" i="8"/>
  <c r="K8" i="8"/>
  <c r="L8" i="8"/>
  <c r="M8" i="8"/>
  <c r="N8" i="8"/>
  <c r="O8" i="8"/>
  <c r="U8" i="8"/>
  <c r="G9" i="8"/>
  <c r="H9" i="8"/>
  <c r="I9" i="8"/>
  <c r="J9" i="8"/>
  <c r="K9" i="8"/>
  <c r="L9" i="8"/>
  <c r="M9" i="8"/>
  <c r="N9" i="8"/>
  <c r="O9" i="8"/>
  <c r="U9" i="8"/>
  <c r="G10" i="8"/>
  <c r="H10" i="8"/>
  <c r="I10" i="8"/>
  <c r="J10" i="8"/>
  <c r="K10" i="8"/>
  <c r="L10" i="8"/>
  <c r="M10" i="8"/>
  <c r="N10" i="8"/>
  <c r="O10" i="8"/>
  <c r="U10" i="8"/>
  <c r="G11" i="8"/>
  <c r="H11" i="8"/>
  <c r="I11" i="8"/>
  <c r="J11" i="8"/>
  <c r="K11" i="8"/>
  <c r="L11" i="8"/>
  <c r="M11" i="8"/>
  <c r="N11" i="8"/>
  <c r="O11" i="8"/>
  <c r="U11" i="8"/>
  <c r="G12" i="8"/>
  <c r="H12" i="8"/>
  <c r="I12" i="8"/>
  <c r="J12" i="8"/>
  <c r="K12" i="8"/>
  <c r="L12" i="8"/>
  <c r="M12" i="8"/>
  <c r="N12" i="8"/>
  <c r="O12" i="8"/>
  <c r="U12" i="8"/>
  <c r="G13" i="8"/>
  <c r="H13" i="8"/>
  <c r="I13" i="8"/>
  <c r="J13" i="8"/>
  <c r="K13" i="8"/>
  <c r="L13" i="8"/>
  <c r="M13" i="8"/>
  <c r="N13" i="8"/>
  <c r="O13" i="8"/>
  <c r="U13" i="8"/>
  <c r="G14" i="8"/>
  <c r="H14" i="8"/>
  <c r="I14" i="8"/>
  <c r="J14" i="8"/>
  <c r="K14" i="8"/>
  <c r="L14" i="8"/>
  <c r="M14" i="8"/>
  <c r="N14" i="8"/>
  <c r="O14" i="8"/>
  <c r="U14" i="8"/>
  <c r="G15" i="8"/>
  <c r="H15" i="8"/>
  <c r="I15" i="8"/>
  <c r="J15" i="8"/>
  <c r="K15" i="8"/>
  <c r="L15" i="8"/>
  <c r="M15" i="8"/>
  <c r="N15" i="8"/>
  <c r="O15" i="8"/>
  <c r="U15" i="8"/>
  <c r="G16" i="8"/>
  <c r="H16" i="8"/>
  <c r="I16" i="8"/>
  <c r="J16" i="8"/>
  <c r="K16" i="8"/>
  <c r="L16" i="8"/>
  <c r="M16" i="8"/>
  <c r="N16" i="8"/>
  <c r="O16" i="8"/>
  <c r="U16" i="8"/>
  <c r="G17" i="8"/>
  <c r="H17" i="8"/>
  <c r="I17" i="8"/>
  <c r="J17" i="8"/>
  <c r="K17" i="8"/>
  <c r="L17" i="8"/>
  <c r="M17" i="8"/>
  <c r="N17" i="8"/>
  <c r="O17" i="8"/>
  <c r="U17" i="8"/>
  <c r="G18" i="8"/>
  <c r="H18" i="8"/>
  <c r="I18" i="8"/>
  <c r="J18" i="8"/>
  <c r="K18" i="8"/>
  <c r="L18" i="8"/>
  <c r="M18" i="8"/>
  <c r="N18" i="8"/>
  <c r="O18" i="8"/>
  <c r="U18" i="8"/>
  <c r="G19" i="8"/>
  <c r="H19" i="8"/>
  <c r="I19" i="8"/>
  <c r="J19" i="8"/>
  <c r="K19" i="8"/>
  <c r="L19" i="8"/>
  <c r="M19" i="8"/>
  <c r="N19" i="8"/>
  <c r="O19" i="8"/>
  <c r="U19" i="8"/>
  <c r="G20" i="8"/>
  <c r="H20" i="8"/>
  <c r="I20" i="8"/>
  <c r="J20" i="8"/>
  <c r="K20" i="8"/>
  <c r="L20" i="8"/>
  <c r="M20" i="8"/>
  <c r="N20" i="8"/>
  <c r="O20" i="8"/>
  <c r="U20" i="8"/>
  <c r="G21" i="8"/>
  <c r="H21" i="8"/>
  <c r="I21" i="8"/>
  <c r="J21" i="8"/>
  <c r="K21" i="8"/>
  <c r="L21" i="8"/>
  <c r="M21" i="8"/>
  <c r="N21" i="8"/>
  <c r="O21" i="8"/>
  <c r="U21" i="8"/>
  <c r="G23" i="8"/>
  <c r="H23" i="8"/>
  <c r="I23" i="8"/>
  <c r="J23" i="8"/>
  <c r="K23" i="8"/>
  <c r="L23" i="8"/>
  <c r="M23" i="8"/>
  <c r="N23" i="8"/>
  <c r="O23" i="8"/>
  <c r="U23" i="8"/>
  <c r="G24" i="8"/>
  <c r="H24" i="8"/>
  <c r="I24" i="8"/>
  <c r="J24" i="8"/>
  <c r="K24" i="8"/>
  <c r="L24" i="8"/>
  <c r="M24" i="8"/>
  <c r="N24" i="8"/>
  <c r="O24" i="8"/>
  <c r="U24" i="8"/>
  <c r="G25" i="8"/>
  <c r="H25" i="8"/>
  <c r="I25" i="8"/>
  <c r="J25" i="8"/>
  <c r="K25" i="8"/>
  <c r="L25" i="8"/>
  <c r="M25" i="8"/>
  <c r="N25" i="8"/>
  <c r="O25" i="8"/>
  <c r="U25" i="8"/>
  <c r="G26" i="8"/>
  <c r="H26" i="8"/>
  <c r="I26" i="8"/>
  <c r="J26" i="8"/>
  <c r="K26" i="8"/>
  <c r="L26" i="8"/>
  <c r="M26" i="8"/>
  <c r="N26" i="8"/>
  <c r="O26" i="8"/>
  <c r="U26" i="8"/>
  <c r="G27" i="8"/>
  <c r="H27" i="8"/>
  <c r="I27" i="8"/>
  <c r="J27" i="8"/>
  <c r="K27" i="8"/>
  <c r="L27" i="8"/>
  <c r="M27" i="8"/>
  <c r="N27" i="8"/>
  <c r="O27" i="8"/>
  <c r="U27" i="8"/>
  <c r="G28" i="8"/>
  <c r="H28" i="8"/>
  <c r="I28" i="8"/>
  <c r="J28" i="8"/>
  <c r="K28" i="8"/>
  <c r="L28" i="8"/>
  <c r="M28" i="8"/>
  <c r="N28" i="8"/>
  <c r="O28" i="8"/>
  <c r="U28" i="8"/>
  <c r="G29" i="8"/>
  <c r="H29" i="8"/>
  <c r="I29" i="8"/>
  <c r="J29" i="8"/>
  <c r="K29" i="8"/>
  <c r="L29" i="8"/>
  <c r="M29" i="8"/>
  <c r="N29" i="8"/>
  <c r="O29" i="8"/>
  <c r="U29" i="8"/>
  <c r="G30" i="8"/>
  <c r="H30" i="8"/>
  <c r="I30" i="8"/>
  <c r="J30" i="8"/>
  <c r="K30" i="8"/>
  <c r="L30" i="8"/>
  <c r="M30" i="8"/>
  <c r="N30" i="8"/>
  <c r="O30" i="8"/>
  <c r="U30" i="8"/>
  <c r="G31" i="8"/>
  <c r="H31" i="8"/>
  <c r="I31" i="8"/>
  <c r="J31" i="8"/>
  <c r="K31" i="8"/>
  <c r="L31" i="8"/>
  <c r="M31" i="8"/>
  <c r="N31" i="8"/>
  <c r="O31" i="8"/>
  <c r="U31" i="8"/>
  <c r="G32" i="8"/>
  <c r="H32" i="8"/>
  <c r="I32" i="8"/>
  <c r="J32" i="8"/>
  <c r="K32" i="8"/>
  <c r="L32" i="8"/>
  <c r="M32" i="8"/>
  <c r="N32" i="8"/>
  <c r="O32" i="8"/>
  <c r="U32" i="8"/>
  <c r="G33" i="8"/>
  <c r="H33" i="8"/>
  <c r="I33" i="8"/>
  <c r="J33" i="8"/>
  <c r="K33" i="8"/>
  <c r="L33" i="8"/>
  <c r="M33" i="8"/>
  <c r="N33" i="8"/>
  <c r="O33" i="8"/>
  <c r="U33" i="8"/>
  <c r="G34" i="8"/>
  <c r="H34" i="8"/>
  <c r="I34" i="8"/>
  <c r="J34" i="8"/>
  <c r="K34" i="8"/>
  <c r="L34" i="8"/>
  <c r="M34" i="8"/>
  <c r="N34" i="8"/>
  <c r="O34" i="8"/>
  <c r="U34" i="8"/>
  <c r="G35" i="8"/>
  <c r="H35" i="8"/>
  <c r="I35" i="8"/>
  <c r="J35" i="8"/>
  <c r="K35" i="8"/>
  <c r="L35" i="8"/>
  <c r="M35" i="8"/>
  <c r="N35" i="8"/>
  <c r="O35" i="8"/>
  <c r="U35" i="8"/>
  <c r="G36" i="8"/>
  <c r="H36" i="8"/>
  <c r="I36" i="8"/>
  <c r="J36" i="8"/>
  <c r="K36" i="8"/>
  <c r="L36" i="8"/>
  <c r="M36" i="8"/>
  <c r="N36" i="8"/>
  <c r="O36" i="8"/>
  <c r="U36" i="8"/>
  <c r="G37" i="8"/>
  <c r="H37" i="8"/>
  <c r="I37" i="8"/>
  <c r="J37" i="8"/>
  <c r="K37" i="8"/>
  <c r="L37" i="8"/>
  <c r="M37" i="8"/>
  <c r="N37" i="8"/>
  <c r="O37" i="8"/>
  <c r="U37" i="8"/>
  <c r="E39" i="8"/>
  <c r="G39" i="8"/>
  <c r="H39" i="8"/>
  <c r="I39" i="8"/>
  <c r="J39" i="8"/>
  <c r="K39" i="8"/>
  <c r="L39" i="8"/>
  <c r="M39" i="8"/>
  <c r="N39" i="8"/>
  <c r="O39" i="8"/>
  <c r="U39" i="8"/>
  <c r="E40" i="8"/>
  <c r="G40" i="8"/>
  <c r="H40" i="8"/>
  <c r="I40" i="8"/>
  <c r="J40" i="8"/>
  <c r="K40" i="8"/>
  <c r="L40" i="8"/>
  <c r="M40" i="8"/>
  <c r="N40" i="8"/>
  <c r="O40" i="8"/>
  <c r="U40" i="8"/>
  <c r="E42" i="8"/>
  <c r="G42" i="8"/>
  <c r="G41" i="8" s="1"/>
  <c r="H42" i="8"/>
  <c r="H41" i="8" s="1"/>
  <c r="I42" i="8"/>
  <c r="I41" i="8" s="1"/>
  <c r="J42" i="8"/>
  <c r="J41" i="8" s="1"/>
  <c r="K42" i="8"/>
  <c r="K41" i="8" s="1"/>
  <c r="L42" i="8"/>
  <c r="L41" i="8" s="1"/>
  <c r="M42" i="8"/>
  <c r="N42" i="8"/>
  <c r="O42" i="8"/>
  <c r="O41" i="8" s="1"/>
  <c r="U42" i="8"/>
  <c r="U41" i="8" s="1"/>
  <c r="G45" i="8"/>
  <c r="H45" i="8"/>
  <c r="I45" i="8"/>
  <c r="J45" i="8"/>
  <c r="K45" i="8"/>
  <c r="L45" i="8"/>
  <c r="M45" i="8"/>
  <c r="N45" i="8"/>
  <c r="O45" i="8"/>
  <c r="U45" i="8"/>
  <c r="G46" i="8"/>
  <c r="H46" i="8"/>
  <c r="I46" i="8"/>
  <c r="J46" i="8"/>
  <c r="K46" i="8"/>
  <c r="L46" i="8"/>
  <c r="M46" i="8"/>
  <c r="N46" i="8"/>
  <c r="O46" i="8"/>
  <c r="U46" i="8"/>
  <c r="G47" i="8"/>
  <c r="H47" i="8"/>
  <c r="I47" i="8"/>
  <c r="J47" i="8"/>
  <c r="K47" i="8"/>
  <c r="L47" i="8"/>
  <c r="M47" i="8"/>
  <c r="N47" i="8"/>
  <c r="O47" i="8"/>
  <c r="U47" i="8"/>
  <c r="G48" i="8"/>
  <c r="H48" i="8"/>
  <c r="I48" i="8"/>
  <c r="J48" i="8"/>
  <c r="K48" i="8"/>
  <c r="L48" i="8"/>
  <c r="M48" i="8"/>
  <c r="N48" i="8"/>
  <c r="O48" i="8"/>
  <c r="U48" i="8"/>
  <c r="G49" i="8"/>
  <c r="H49" i="8"/>
  <c r="I49" i="8"/>
  <c r="J49" i="8"/>
  <c r="K49" i="8"/>
  <c r="L49" i="8"/>
  <c r="M49" i="8"/>
  <c r="N49" i="8"/>
  <c r="O49" i="8"/>
  <c r="U49" i="8"/>
  <c r="G50" i="8"/>
  <c r="H50" i="8"/>
  <c r="I50" i="8"/>
  <c r="J50" i="8"/>
  <c r="K50" i="8"/>
  <c r="L50" i="8"/>
  <c r="M50" i="8"/>
  <c r="N50" i="8"/>
  <c r="O50" i="8"/>
  <c r="U50" i="8"/>
  <c r="G51" i="8"/>
  <c r="H51" i="8"/>
  <c r="I51" i="8"/>
  <c r="J51" i="8"/>
  <c r="K51" i="8"/>
  <c r="L51" i="8"/>
  <c r="M51" i="8"/>
  <c r="N51" i="8"/>
  <c r="O51" i="8"/>
  <c r="U51" i="8"/>
  <c r="G52" i="8"/>
  <c r="H52" i="8"/>
  <c r="I52" i="8"/>
  <c r="J52" i="8"/>
  <c r="K52" i="8"/>
  <c r="L52" i="8"/>
  <c r="M52" i="8"/>
  <c r="N52" i="8"/>
  <c r="O52" i="8"/>
  <c r="U52" i="8"/>
  <c r="G53" i="8"/>
  <c r="H53" i="8"/>
  <c r="I53" i="8"/>
  <c r="J53" i="8"/>
  <c r="K53" i="8"/>
  <c r="L53" i="8"/>
  <c r="M53" i="8"/>
  <c r="N53" i="8"/>
  <c r="O53" i="8"/>
  <c r="U53" i="8"/>
  <c r="G54" i="8"/>
  <c r="H54" i="8"/>
  <c r="I54" i="8"/>
  <c r="J54" i="8"/>
  <c r="K54" i="8"/>
  <c r="L54" i="8"/>
  <c r="M54" i="8"/>
  <c r="N54" i="8"/>
  <c r="O54" i="8"/>
  <c r="U54" i="8"/>
  <c r="G55" i="8"/>
  <c r="H55" i="8"/>
  <c r="I55" i="8"/>
  <c r="J55" i="8"/>
  <c r="K55" i="8"/>
  <c r="L55" i="8"/>
  <c r="M55" i="8"/>
  <c r="N55" i="8"/>
  <c r="O55" i="8"/>
  <c r="U55" i="8"/>
  <c r="G56" i="8"/>
  <c r="H56" i="8"/>
  <c r="I56" i="8"/>
  <c r="J56" i="8"/>
  <c r="K56" i="8"/>
  <c r="L56" i="8"/>
  <c r="M56" i="8"/>
  <c r="N56" i="8"/>
  <c r="O56" i="8"/>
  <c r="U56" i="8"/>
  <c r="G57" i="8"/>
  <c r="H57" i="8"/>
  <c r="I57" i="8"/>
  <c r="J57" i="8"/>
  <c r="K57" i="8"/>
  <c r="L57" i="8"/>
  <c r="M57" i="8"/>
  <c r="N57" i="8"/>
  <c r="O57" i="8"/>
  <c r="U57" i="8"/>
  <c r="G58" i="8"/>
  <c r="H58" i="8"/>
  <c r="I58" i="8"/>
  <c r="J58" i="8"/>
  <c r="K58" i="8"/>
  <c r="L58" i="8"/>
  <c r="M58" i="8"/>
  <c r="N58" i="8"/>
  <c r="O58" i="8"/>
  <c r="U58" i="8"/>
  <c r="G59" i="8"/>
  <c r="H59" i="8"/>
  <c r="I59" i="8"/>
  <c r="J59" i="8"/>
  <c r="K59" i="8"/>
  <c r="L59" i="8"/>
  <c r="M59" i="8"/>
  <c r="N59" i="8"/>
  <c r="O59" i="8"/>
  <c r="U59" i="8"/>
  <c r="G60" i="8"/>
  <c r="H60" i="8"/>
  <c r="I60" i="8"/>
  <c r="J60" i="8"/>
  <c r="K60" i="8"/>
  <c r="L60" i="8"/>
  <c r="M60" i="8"/>
  <c r="N60" i="8"/>
  <c r="O60" i="8"/>
  <c r="U60" i="8"/>
  <c r="G61" i="8"/>
  <c r="H61" i="8"/>
  <c r="I61" i="8"/>
  <c r="J61" i="8"/>
  <c r="K61" i="8"/>
  <c r="L61" i="8"/>
  <c r="M61" i="8"/>
  <c r="N61" i="8"/>
  <c r="O61" i="8"/>
  <c r="U61" i="8"/>
  <c r="G62" i="8"/>
  <c r="H62" i="8"/>
  <c r="I62" i="8"/>
  <c r="J62" i="8"/>
  <c r="K62" i="8"/>
  <c r="L62" i="8"/>
  <c r="M62" i="8"/>
  <c r="N62" i="8"/>
  <c r="O62" i="8"/>
  <c r="U62" i="8"/>
  <c r="G63" i="8"/>
  <c r="H63" i="8"/>
  <c r="I63" i="8"/>
  <c r="J63" i="8"/>
  <c r="K63" i="8"/>
  <c r="L63" i="8"/>
  <c r="M63" i="8"/>
  <c r="N63" i="8"/>
  <c r="O63" i="8"/>
  <c r="U63" i="8"/>
  <c r="G64" i="8"/>
  <c r="H64" i="8"/>
  <c r="I64" i="8"/>
  <c r="J64" i="8"/>
  <c r="K64" i="8"/>
  <c r="L64" i="8"/>
  <c r="M64" i="8"/>
  <c r="N64" i="8"/>
  <c r="O64" i="8"/>
  <c r="U64" i="8"/>
  <c r="G65" i="8"/>
  <c r="H65" i="8"/>
  <c r="I65" i="8"/>
  <c r="J65" i="8"/>
  <c r="K65" i="8"/>
  <c r="L65" i="8"/>
  <c r="M65" i="8"/>
  <c r="N65" i="8"/>
  <c r="O65" i="8"/>
  <c r="U65" i="8"/>
  <c r="G66" i="8"/>
  <c r="H66" i="8"/>
  <c r="I66" i="8"/>
  <c r="J66" i="8"/>
  <c r="K66" i="8"/>
  <c r="L66" i="8"/>
  <c r="M66" i="8"/>
  <c r="N66" i="8"/>
  <c r="O66" i="8"/>
  <c r="U66" i="8"/>
  <c r="G68" i="8"/>
  <c r="H68" i="8"/>
  <c r="I68" i="8"/>
  <c r="J68" i="8"/>
  <c r="K68" i="8"/>
  <c r="L68" i="8"/>
  <c r="M68" i="8"/>
  <c r="N68" i="8"/>
  <c r="O68" i="8"/>
  <c r="U68" i="8"/>
  <c r="G69" i="8"/>
  <c r="H69" i="8"/>
  <c r="I69" i="8"/>
  <c r="J69" i="8"/>
  <c r="K69" i="8"/>
  <c r="L69" i="8"/>
  <c r="M69" i="8"/>
  <c r="N69" i="8"/>
  <c r="O69" i="8"/>
  <c r="U69" i="8"/>
  <c r="G70" i="8"/>
  <c r="H70" i="8"/>
  <c r="I70" i="8"/>
  <c r="J70" i="8"/>
  <c r="K70" i="8"/>
  <c r="L70" i="8"/>
  <c r="M70" i="8"/>
  <c r="N70" i="8"/>
  <c r="O70" i="8"/>
  <c r="U70" i="8"/>
  <c r="M3" i="5"/>
  <c r="M4" i="5"/>
  <c r="M5" i="5"/>
  <c r="F24" i="5"/>
  <c r="G24" i="5"/>
  <c r="H24" i="5"/>
  <c r="I24" i="5"/>
  <c r="K24" i="5"/>
  <c r="L24" i="5"/>
  <c r="B5" i="9"/>
  <c r="C5" i="9"/>
  <c r="D5" i="9"/>
  <c r="E5" i="9"/>
  <c r="F5" i="9"/>
  <c r="B6" i="9"/>
  <c r="C6" i="9"/>
  <c r="D6" i="9"/>
  <c r="E6" i="9"/>
  <c r="F6" i="9"/>
  <c r="B7" i="9"/>
  <c r="C7" i="9"/>
  <c r="D7" i="9"/>
  <c r="E7" i="9"/>
  <c r="F7" i="9"/>
  <c r="B8" i="9"/>
  <c r="C8" i="9"/>
  <c r="D8" i="9"/>
  <c r="E8" i="9"/>
  <c r="F8" i="9"/>
  <c r="B9" i="9"/>
  <c r="C9" i="9"/>
  <c r="D9" i="9"/>
  <c r="E9" i="9"/>
  <c r="F9" i="9"/>
  <c r="B10" i="9"/>
  <c r="C10" i="9"/>
  <c r="D10" i="9"/>
  <c r="E10" i="9"/>
  <c r="F10" i="9"/>
  <c r="B11" i="9"/>
  <c r="C11" i="9"/>
  <c r="D11" i="9"/>
  <c r="E11" i="9"/>
  <c r="F11" i="9"/>
  <c r="B12" i="9"/>
  <c r="C12" i="9"/>
  <c r="D12" i="9"/>
  <c r="E12" i="9"/>
  <c r="F12" i="9"/>
  <c r="B13" i="9"/>
  <c r="C13" i="9"/>
  <c r="D13" i="9"/>
  <c r="E13" i="9"/>
  <c r="F13" i="9"/>
  <c r="B14" i="9"/>
  <c r="C14" i="9"/>
  <c r="D14" i="9"/>
  <c r="E14" i="9"/>
  <c r="F14" i="9"/>
  <c r="B15" i="9"/>
  <c r="C15" i="9"/>
  <c r="D15" i="9"/>
  <c r="E15" i="9"/>
  <c r="F15" i="9"/>
  <c r="B16" i="9"/>
  <c r="C16" i="9"/>
  <c r="D16" i="9"/>
  <c r="E16" i="9"/>
  <c r="F16" i="9"/>
  <c r="B17" i="9"/>
  <c r="C17" i="9"/>
  <c r="D17" i="9"/>
  <c r="E17" i="9"/>
  <c r="F17" i="9"/>
  <c r="B18" i="9"/>
  <c r="C18" i="9"/>
  <c r="D18" i="9"/>
  <c r="E18" i="9"/>
  <c r="F18" i="9"/>
  <c r="B19" i="9"/>
  <c r="C19" i="9"/>
  <c r="D19" i="9"/>
  <c r="E19" i="9"/>
  <c r="F19" i="9"/>
  <c r="B20" i="9"/>
  <c r="C20" i="9"/>
  <c r="D20" i="9"/>
  <c r="E20" i="9"/>
  <c r="F20" i="9"/>
  <c r="B21" i="9"/>
  <c r="C21" i="9"/>
  <c r="D21" i="9"/>
  <c r="E21" i="9"/>
  <c r="F21" i="9"/>
  <c r="B23" i="9"/>
  <c r="C23" i="9"/>
  <c r="D23" i="9"/>
  <c r="E23" i="9"/>
  <c r="F23" i="9"/>
  <c r="B24" i="9"/>
  <c r="C24" i="9"/>
  <c r="D24" i="9"/>
  <c r="E24" i="9"/>
  <c r="F24" i="9"/>
  <c r="B25" i="9"/>
  <c r="C25" i="9"/>
  <c r="D25" i="9"/>
  <c r="E25" i="9"/>
  <c r="F25" i="9"/>
  <c r="B26" i="9"/>
  <c r="C26" i="9"/>
  <c r="D26" i="9"/>
  <c r="E26" i="9"/>
  <c r="F26" i="9"/>
  <c r="B27" i="9"/>
  <c r="C27" i="9"/>
  <c r="D27" i="9"/>
  <c r="E27" i="9"/>
  <c r="F27" i="9"/>
  <c r="B28" i="9"/>
  <c r="C28" i="9"/>
  <c r="D28" i="9"/>
  <c r="E28" i="9"/>
  <c r="F28" i="9"/>
  <c r="B29" i="9"/>
  <c r="C29" i="9"/>
  <c r="D29" i="9"/>
  <c r="E29" i="9"/>
  <c r="F29" i="9"/>
  <c r="B30" i="9"/>
  <c r="C30" i="9"/>
  <c r="D30" i="9"/>
  <c r="E30" i="9"/>
  <c r="F30" i="9"/>
  <c r="B31" i="9"/>
  <c r="C31" i="9"/>
  <c r="D31" i="9"/>
  <c r="E31" i="9"/>
  <c r="F31" i="9"/>
  <c r="B32" i="9"/>
  <c r="C32" i="9"/>
  <c r="D32" i="9"/>
  <c r="E32" i="9"/>
  <c r="F32" i="9"/>
  <c r="B33" i="9"/>
  <c r="C33" i="9"/>
  <c r="D33" i="9"/>
  <c r="E33" i="9"/>
  <c r="F33" i="9"/>
  <c r="B34" i="9"/>
  <c r="C34" i="9"/>
  <c r="D34" i="9"/>
  <c r="E34" i="9"/>
  <c r="F34" i="9"/>
  <c r="B35" i="9"/>
  <c r="C35" i="9"/>
  <c r="D35" i="9"/>
  <c r="E35" i="9"/>
  <c r="F35" i="9"/>
  <c r="B36" i="9"/>
  <c r="C36" i="9"/>
  <c r="D36" i="9"/>
  <c r="E36" i="9"/>
  <c r="F36" i="9"/>
  <c r="B37" i="9"/>
  <c r="C37" i="9"/>
  <c r="D37" i="9"/>
  <c r="E37" i="9"/>
  <c r="F37" i="9"/>
  <c r="B39" i="9"/>
  <c r="C39" i="9"/>
  <c r="D39" i="9"/>
  <c r="E39" i="9"/>
  <c r="F39" i="9"/>
  <c r="B40" i="9"/>
  <c r="C40" i="9"/>
  <c r="D40" i="9"/>
  <c r="E40" i="9"/>
  <c r="F40" i="9"/>
  <c r="B42" i="9"/>
  <c r="B41" i="9" s="1"/>
  <c r="C42" i="9"/>
  <c r="C41" i="9" s="1"/>
  <c r="D42" i="9"/>
  <c r="E42" i="9"/>
  <c r="F42" i="9"/>
  <c r="F41" i="9" s="1"/>
  <c r="B45" i="9"/>
  <c r="C45" i="9"/>
  <c r="D45" i="9"/>
  <c r="E45" i="9"/>
  <c r="F45" i="9"/>
  <c r="B46" i="9"/>
  <c r="C46" i="9"/>
  <c r="D46" i="9"/>
  <c r="E46" i="9"/>
  <c r="F46" i="9"/>
  <c r="B47" i="9"/>
  <c r="C47" i="9"/>
  <c r="D47" i="9"/>
  <c r="E47" i="9"/>
  <c r="F47" i="9"/>
  <c r="B48" i="9"/>
  <c r="C48" i="9"/>
  <c r="D48" i="9"/>
  <c r="E48" i="9"/>
  <c r="F48" i="9"/>
  <c r="B49" i="9"/>
  <c r="C49" i="9"/>
  <c r="D49" i="9"/>
  <c r="E49" i="9"/>
  <c r="F49" i="9"/>
  <c r="B50" i="9"/>
  <c r="C50" i="9"/>
  <c r="D50" i="9"/>
  <c r="E50" i="9"/>
  <c r="F50" i="9"/>
  <c r="B51" i="9"/>
  <c r="C51" i="9"/>
  <c r="D51" i="9"/>
  <c r="E51" i="9"/>
  <c r="F51" i="9"/>
  <c r="B52" i="9"/>
  <c r="C52" i="9"/>
  <c r="D52" i="9"/>
  <c r="E52" i="9"/>
  <c r="F52" i="9"/>
  <c r="B53" i="9"/>
  <c r="C53" i="9"/>
  <c r="D53" i="9"/>
  <c r="E53" i="9"/>
  <c r="F53" i="9"/>
  <c r="B54" i="9"/>
  <c r="C54" i="9"/>
  <c r="D54" i="9"/>
  <c r="E54" i="9"/>
  <c r="F54" i="9"/>
  <c r="B55" i="9"/>
  <c r="C55" i="9"/>
  <c r="D55" i="9"/>
  <c r="E55" i="9"/>
  <c r="F55" i="9"/>
  <c r="B56" i="9"/>
  <c r="C56" i="9"/>
  <c r="D56" i="9"/>
  <c r="E56" i="9"/>
  <c r="F56" i="9"/>
  <c r="B57" i="9"/>
  <c r="C57" i="9"/>
  <c r="D57" i="9"/>
  <c r="E57" i="9"/>
  <c r="F57" i="9"/>
  <c r="B58" i="9"/>
  <c r="C58" i="9"/>
  <c r="D58" i="9"/>
  <c r="E58" i="9"/>
  <c r="F58" i="9"/>
  <c r="B59" i="9"/>
  <c r="C59" i="9"/>
  <c r="D59" i="9"/>
  <c r="E59" i="9"/>
  <c r="F59" i="9"/>
  <c r="B60" i="9"/>
  <c r="C60" i="9"/>
  <c r="D60" i="9"/>
  <c r="E60" i="9"/>
  <c r="F60" i="9"/>
  <c r="B61" i="9"/>
  <c r="C61" i="9"/>
  <c r="D61" i="9"/>
  <c r="E61" i="9"/>
  <c r="F61" i="9"/>
  <c r="B62" i="9"/>
  <c r="C62" i="9"/>
  <c r="D62" i="9"/>
  <c r="E62" i="9"/>
  <c r="F62" i="9"/>
  <c r="B63" i="9"/>
  <c r="C63" i="9"/>
  <c r="D63" i="9"/>
  <c r="E63" i="9"/>
  <c r="F63" i="9"/>
  <c r="B64" i="9"/>
  <c r="C64" i="9"/>
  <c r="D64" i="9"/>
  <c r="E64" i="9"/>
  <c r="F64" i="9"/>
  <c r="B65" i="9"/>
  <c r="C65" i="9"/>
  <c r="D65" i="9"/>
  <c r="E65" i="9"/>
  <c r="F65" i="9"/>
  <c r="B66" i="9"/>
  <c r="C66" i="9"/>
  <c r="D66" i="9"/>
  <c r="E66" i="9"/>
  <c r="F66" i="9"/>
  <c r="B68" i="9"/>
  <c r="C68" i="9"/>
  <c r="D68" i="9"/>
  <c r="E68" i="9"/>
  <c r="F68" i="9"/>
  <c r="B69" i="9"/>
  <c r="C69" i="9"/>
  <c r="D69" i="9"/>
  <c r="E69" i="9"/>
  <c r="F69" i="9"/>
  <c r="B70" i="9"/>
  <c r="C70" i="9"/>
  <c r="D70" i="9"/>
  <c r="E70" i="9"/>
  <c r="F70" i="9"/>
  <c r="G3" i="4"/>
  <c r="G2" i="4" s="1"/>
  <c r="H3" i="4"/>
  <c r="H2" i="4" s="1"/>
  <c r="I3" i="4"/>
  <c r="I2" i="4" s="1"/>
  <c r="J3" i="4"/>
  <c r="J2" i="4" s="1"/>
  <c r="N2" i="4"/>
  <c r="O2" i="4"/>
  <c r="L2" i="4"/>
  <c r="C68" i="10" l="1"/>
  <c r="C67" i="10" s="1"/>
  <c r="C2" i="10" s="1"/>
  <c r="M24" i="5"/>
  <c r="P23" i="8"/>
  <c r="U38" i="8"/>
  <c r="T31" i="8"/>
  <c r="Q23" i="8"/>
  <c r="T23" i="8"/>
  <c r="Q20" i="8"/>
  <c r="R61" i="8"/>
  <c r="R59" i="8"/>
  <c r="R57" i="8"/>
  <c r="T55" i="8"/>
  <c r="Q45" i="8"/>
  <c r="N24" i="5"/>
  <c r="H19" i="9"/>
  <c r="P42" i="8"/>
  <c r="P41" i="8" s="1"/>
  <c r="P34" i="8"/>
  <c r="P2" i="4"/>
  <c r="I5" i="9"/>
  <c r="H45" i="9"/>
  <c r="H25" i="9"/>
  <c r="Q40" i="8"/>
  <c r="Q19" i="8"/>
  <c r="T19" i="8"/>
  <c r="Q15" i="8"/>
  <c r="T15" i="8"/>
  <c r="H58" i="9"/>
  <c r="J48" i="9"/>
  <c r="I45" i="9"/>
  <c r="J35" i="9"/>
  <c r="G69" i="9"/>
  <c r="J51" i="9"/>
  <c r="J49" i="9"/>
  <c r="R28" i="8"/>
  <c r="R24" i="8"/>
  <c r="R9" i="8"/>
  <c r="R5" i="8"/>
  <c r="H9" i="9"/>
  <c r="I61" i="9"/>
  <c r="J59" i="9"/>
  <c r="J58" i="9"/>
  <c r="J56" i="9"/>
  <c r="G15" i="9"/>
  <c r="R68" i="8"/>
  <c r="P66" i="8"/>
  <c r="R65" i="8"/>
  <c r="P62" i="8"/>
  <c r="P54" i="8"/>
  <c r="T52" i="8"/>
  <c r="T48" i="8"/>
  <c r="I69" i="9"/>
  <c r="I64" i="9"/>
  <c r="I25" i="9"/>
  <c r="I8" i="9"/>
  <c r="S66" i="8"/>
  <c r="S65" i="8"/>
  <c r="R64" i="8"/>
  <c r="S48" i="8"/>
  <c r="R36" i="8"/>
  <c r="I56" i="9"/>
  <c r="H49" i="9"/>
  <c r="I48" i="9"/>
  <c r="H46" i="9"/>
  <c r="C38" i="9"/>
  <c r="G37" i="9"/>
  <c r="J30" i="9"/>
  <c r="I28" i="9"/>
  <c r="J19" i="9"/>
  <c r="I9" i="9"/>
  <c r="R50" i="8"/>
  <c r="P18" i="8"/>
  <c r="T8" i="8"/>
  <c r="J68" i="9"/>
  <c r="H54" i="9"/>
  <c r="T63" i="8"/>
  <c r="T36" i="8"/>
  <c r="P30" i="8"/>
  <c r="P26" i="8"/>
  <c r="H52" i="9"/>
  <c r="Q68" i="8"/>
  <c r="T64" i="8"/>
  <c r="Q50" i="8"/>
  <c r="J50" i="9"/>
  <c r="I34" i="9"/>
  <c r="H31" i="9"/>
  <c r="G26" i="9"/>
  <c r="H20" i="9"/>
  <c r="G19" i="9"/>
  <c r="H10" i="9"/>
  <c r="Q63" i="8"/>
  <c r="P50" i="8"/>
  <c r="S37" i="8"/>
  <c r="T35" i="8"/>
  <c r="R20" i="8"/>
  <c r="T18" i="8"/>
  <c r="T11" i="8"/>
  <c r="T7" i="8"/>
  <c r="G58" i="9"/>
  <c r="H57" i="9"/>
  <c r="I55" i="9"/>
  <c r="G34" i="9"/>
  <c r="H27" i="9"/>
  <c r="J26" i="9"/>
  <c r="G25" i="9"/>
  <c r="I23" i="9"/>
  <c r="I20" i="9"/>
  <c r="I16" i="9"/>
  <c r="G7" i="9"/>
  <c r="H6" i="9"/>
  <c r="R70" i="8"/>
  <c r="S69" i="8"/>
  <c r="I67" i="8"/>
  <c r="H67" i="8"/>
  <c r="Q64" i="8"/>
  <c r="Q62" i="8"/>
  <c r="S54" i="8"/>
  <c r="P51" i="8"/>
  <c r="Q48" i="8"/>
  <c r="P39" i="8"/>
  <c r="S18" i="8"/>
  <c r="R16" i="8"/>
  <c r="P15" i="8"/>
  <c r="R14" i="8"/>
  <c r="H29" i="9"/>
  <c r="P48" i="8"/>
  <c r="T32" i="8"/>
  <c r="J54" i="9"/>
  <c r="I52" i="9"/>
  <c r="H35" i="9"/>
  <c r="I24" i="9"/>
  <c r="H18" i="9"/>
  <c r="G11" i="9"/>
  <c r="R49" i="8"/>
  <c r="R40" i="8"/>
  <c r="G70" i="9"/>
  <c r="G66" i="9"/>
  <c r="H65" i="9"/>
  <c r="G46" i="9"/>
  <c r="H36" i="9"/>
  <c r="G35" i="9"/>
  <c r="G27" i="9"/>
  <c r="H14" i="9"/>
  <c r="P70" i="8"/>
  <c r="R55" i="8"/>
  <c r="R53" i="8"/>
  <c r="T45" i="8"/>
  <c r="Q27" i="8"/>
  <c r="T27" i="8"/>
  <c r="P14" i="8"/>
  <c r="T12" i="8"/>
  <c r="S10" i="8"/>
  <c r="S6" i="8"/>
  <c r="I68" i="9"/>
  <c r="J65" i="9"/>
  <c r="I63" i="9"/>
  <c r="H60" i="9"/>
  <c r="H56" i="9"/>
  <c r="J55" i="9"/>
  <c r="G54" i="9"/>
  <c r="H53" i="9"/>
  <c r="J52" i="9"/>
  <c r="H50" i="9"/>
  <c r="I49" i="9"/>
  <c r="I35" i="9"/>
  <c r="H33" i="9"/>
  <c r="I32" i="9"/>
  <c r="J29" i="9"/>
  <c r="H28" i="9"/>
  <c r="J27" i="9"/>
  <c r="H24" i="9"/>
  <c r="J23" i="9"/>
  <c r="H21" i="9"/>
  <c r="I12" i="9"/>
  <c r="R58" i="8"/>
  <c r="S42" i="8"/>
  <c r="R13" i="8"/>
  <c r="R12" i="8"/>
  <c r="H70" i="9"/>
  <c r="I70" i="9"/>
  <c r="H66" i="9"/>
  <c r="H62" i="9"/>
  <c r="I57" i="9"/>
  <c r="J53" i="9"/>
  <c r="D38" i="9"/>
  <c r="H37" i="9"/>
  <c r="I37" i="9"/>
  <c r="G29" i="9"/>
  <c r="I18" i="9"/>
  <c r="L67" i="8"/>
  <c r="P65" i="8"/>
  <c r="T62" i="8"/>
  <c r="T59" i="8"/>
  <c r="P58" i="8"/>
  <c r="T56" i="8"/>
  <c r="R42" i="8"/>
  <c r="R41" i="8" s="1"/>
  <c r="Q35" i="8"/>
  <c r="Q30" i="8"/>
  <c r="Q28" i="8"/>
  <c r="G62" i="9"/>
  <c r="J62" i="9"/>
  <c r="Q10" i="8"/>
  <c r="P10" i="8"/>
  <c r="E67" i="9"/>
  <c r="H68" i="9"/>
  <c r="B67" i="9"/>
  <c r="H64" i="9"/>
  <c r="I60" i="9"/>
  <c r="J60" i="9"/>
  <c r="H42" i="9"/>
  <c r="H41" i="9" s="1"/>
  <c r="E41" i="9"/>
  <c r="O38" i="8"/>
  <c r="R39" i="8"/>
  <c r="R38" i="8" s="1"/>
  <c r="K38" i="8"/>
  <c r="G38" i="8"/>
  <c r="R37" i="8"/>
  <c r="M4" i="8"/>
  <c r="I4" i="8"/>
  <c r="Q6" i="8"/>
  <c r="P6" i="8"/>
  <c r="R47" i="8"/>
  <c r="S47" i="8"/>
  <c r="R30" i="8"/>
  <c r="S30" i="8"/>
  <c r="T30" i="8"/>
  <c r="I66" i="9"/>
  <c r="I62" i="9"/>
  <c r="I47" i="9"/>
  <c r="J47" i="9"/>
  <c r="C44" i="9"/>
  <c r="I40" i="9"/>
  <c r="J40" i="9"/>
  <c r="I36" i="9"/>
  <c r="J33" i="9"/>
  <c r="G33" i="9"/>
  <c r="R60" i="8"/>
  <c r="P59" i="8"/>
  <c r="Q59" i="8"/>
  <c r="I44" i="8"/>
  <c r="R32" i="8"/>
  <c r="P31" i="8"/>
  <c r="Q31" i="8"/>
  <c r="R29" i="8"/>
  <c r="S29" i="8"/>
  <c r="R17" i="8"/>
  <c r="S17" i="8"/>
  <c r="P11" i="8"/>
  <c r="Q11" i="8"/>
  <c r="J70" i="9"/>
  <c r="H69" i="9"/>
  <c r="I65" i="9"/>
  <c r="I59" i="9"/>
  <c r="I53" i="9"/>
  <c r="I51" i="9"/>
  <c r="J46" i="9"/>
  <c r="H40" i="9"/>
  <c r="F38" i="9"/>
  <c r="I31" i="9"/>
  <c r="J31" i="9"/>
  <c r="G30" i="9"/>
  <c r="I27" i="9"/>
  <c r="M67" i="8"/>
  <c r="P55" i="8"/>
  <c r="Q55" i="8"/>
  <c r="S21" i="8"/>
  <c r="R21" i="8"/>
  <c r="P7" i="8"/>
  <c r="Q7" i="8"/>
  <c r="H61" i="9"/>
  <c r="J57" i="9"/>
  <c r="G50" i="9"/>
  <c r="H48" i="9"/>
  <c r="J42" i="9"/>
  <c r="G40" i="9"/>
  <c r="H32" i="9"/>
  <c r="G31" i="9"/>
  <c r="I29" i="9"/>
  <c r="F22" i="9"/>
  <c r="I26" i="9"/>
  <c r="H17" i="9"/>
  <c r="J16" i="9"/>
  <c r="H15" i="9"/>
  <c r="B4" i="9"/>
  <c r="H13" i="9"/>
  <c r="J12" i="9"/>
  <c r="H11" i="9"/>
  <c r="I11" i="9"/>
  <c r="H7" i="9"/>
  <c r="I7" i="9"/>
  <c r="R66" i="8"/>
  <c r="R62" i="8"/>
  <c r="S59" i="8"/>
  <c r="S58" i="8"/>
  <c r="S57" i="8"/>
  <c r="P57" i="8"/>
  <c r="Q56" i="8"/>
  <c r="S55" i="8"/>
  <c r="S53" i="8"/>
  <c r="P53" i="8"/>
  <c r="Q52" i="8"/>
  <c r="T40" i="8"/>
  <c r="Q36" i="8"/>
  <c r="Q34" i="8"/>
  <c r="T28" i="8"/>
  <c r="T24" i="8"/>
  <c r="T20" i="8"/>
  <c r="Q18" i="8"/>
  <c r="R18" i="8"/>
  <c r="Q12" i="8"/>
  <c r="R11" i="8"/>
  <c r="S9" i="8"/>
  <c r="Q8" i="8"/>
  <c r="R7" i="8"/>
  <c r="S5" i="8"/>
  <c r="J61" i="9"/>
  <c r="J37" i="9"/>
  <c r="I33" i="9"/>
  <c r="I30" i="9"/>
  <c r="J25" i="9"/>
  <c r="J8" i="9"/>
  <c r="O67" i="8"/>
  <c r="G67" i="8"/>
  <c r="S49" i="8"/>
  <c r="Q46" i="8"/>
  <c r="H22" i="8"/>
  <c r="S13" i="8"/>
  <c r="D22" i="9"/>
  <c r="U67" i="8"/>
  <c r="L38" i="8"/>
  <c r="H38" i="8"/>
  <c r="Q26" i="8"/>
  <c r="K2" i="4"/>
  <c r="R2" i="4" s="1"/>
  <c r="R3" i="4"/>
  <c r="F44" i="9"/>
  <c r="H47" i="9"/>
  <c r="G47" i="9"/>
  <c r="I39" i="9"/>
  <c r="B38" i="9"/>
  <c r="G17" i="9"/>
  <c r="I17" i="9"/>
  <c r="F2" i="4"/>
  <c r="C67" i="9"/>
  <c r="J66" i="9"/>
  <c r="J64" i="9"/>
  <c r="H63" i="9"/>
  <c r="G63" i="9"/>
  <c r="H51" i="9"/>
  <c r="G51" i="9"/>
  <c r="J17" i="9"/>
  <c r="H55" i="9"/>
  <c r="G55" i="9"/>
  <c r="E44" i="9"/>
  <c r="J21" i="9"/>
  <c r="G21" i="9"/>
  <c r="F67" i="9"/>
  <c r="J63" i="9"/>
  <c r="H59" i="9"/>
  <c r="G59" i="9"/>
  <c r="B44" i="9"/>
  <c r="J45" i="9"/>
  <c r="D44" i="9"/>
  <c r="G45" i="9"/>
  <c r="C22" i="9"/>
  <c r="T61" i="8"/>
  <c r="Q61" i="8"/>
  <c r="G64" i="9"/>
  <c r="G60" i="9"/>
  <c r="G56" i="9"/>
  <c r="G52" i="9"/>
  <c r="G48" i="9"/>
  <c r="E38" i="9"/>
  <c r="H39" i="9"/>
  <c r="J36" i="9"/>
  <c r="G36" i="9"/>
  <c r="J32" i="9"/>
  <c r="G32" i="9"/>
  <c r="J28" i="9"/>
  <c r="G28" i="9"/>
  <c r="J24" i="9"/>
  <c r="G24" i="9"/>
  <c r="J18" i="9"/>
  <c r="G18" i="9"/>
  <c r="J13" i="9"/>
  <c r="G13" i="9"/>
  <c r="E4" i="9"/>
  <c r="H5" i="9"/>
  <c r="K67" i="8"/>
  <c r="R69" i="8"/>
  <c r="R51" i="8"/>
  <c r="S51" i="8"/>
  <c r="T51" i="8"/>
  <c r="T49" i="8"/>
  <c r="Q49" i="8"/>
  <c r="Q47" i="8"/>
  <c r="T47" i="8"/>
  <c r="P47" i="8"/>
  <c r="U44" i="8"/>
  <c r="J69" i="9"/>
  <c r="D67" i="9"/>
  <c r="G68" i="9"/>
  <c r="G65" i="9"/>
  <c r="G61" i="9"/>
  <c r="G57" i="9"/>
  <c r="G53" i="9"/>
  <c r="G49" i="9"/>
  <c r="G42" i="9"/>
  <c r="G41" i="9" s="1"/>
  <c r="H34" i="9"/>
  <c r="H30" i="9"/>
  <c r="H26" i="9"/>
  <c r="I21" i="9"/>
  <c r="I13" i="9"/>
  <c r="T16" i="8"/>
  <c r="Q16" i="8"/>
  <c r="U4" i="8"/>
  <c r="I58" i="9"/>
  <c r="I54" i="9"/>
  <c r="I50" i="9"/>
  <c r="I46" i="9"/>
  <c r="D41" i="9"/>
  <c r="J41" i="9" s="1"/>
  <c r="J34" i="9"/>
  <c r="E22" i="9"/>
  <c r="H23" i="9"/>
  <c r="B22" i="9"/>
  <c r="J20" i="9"/>
  <c r="G20" i="9"/>
  <c r="I15" i="9"/>
  <c r="J15" i="9"/>
  <c r="S63" i="8"/>
  <c r="P63" i="8"/>
  <c r="T60" i="8"/>
  <c r="Q60" i="8"/>
  <c r="S28" i="8"/>
  <c r="P28" i="8"/>
  <c r="J9" i="9"/>
  <c r="G9" i="9"/>
  <c r="J5" i="9"/>
  <c r="D4" i="9"/>
  <c r="G5" i="9"/>
  <c r="J24" i="5"/>
  <c r="Q70" i="8"/>
  <c r="T69" i="8"/>
  <c r="Q69" i="8"/>
  <c r="N67" i="8"/>
  <c r="T68" i="8"/>
  <c r="J67" i="8"/>
  <c r="S62" i="8"/>
  <c r="S61" i="8"/>
  <c r="P61" i="8"/>
  <c r="S60" i="8"/>
  <c r="P60" i="8"/>
  <c r="T54" i="8"/>
  <c r="R54" i="8"/>
  <c r="K44" i="8"/>
  <c r="R46" i="8"/>
  <c r="S46" i="8"/>
  <c r="G44" i="8"/>
  <c r="R33" i="8"/>
  <c r="S33" i="8"/>
  <c r="R26" i="8"/>
  <c r="S26" i="8"/>
  <c r="T26" i="8"/>
  <c r="P17" i="8"/>
  <c r="T17" i="8"/>
  <c r="Q17" i="8"/>
  <c r="I14" i="9"/>
  <c r="J14" i="9"/>
  <c r="I10" i="9"/>
  <c r="J10" i="9"/>
  <c r="I6" i="9"/>
  <c r="J6" i="9"/>
  <c r="F4" i="9"/>
  <c r="S70" i="8"/>
  <c r="P69" i="8"/>
  <c r="S68" i="8"/>
  <c r="P68" i="8"/>
  <c r="T66" i="8"/>
  <c r="Q66" i="8"/>
  <c r="T65" i="8"/>
  <c r="Q65" i="8"/>
  <c r="R63" i="8"/>
  <c r="T58" i="8"/>
  <c r="Q58" i="8"/>
  <c r="T57" i="8"/>
  <c r="Q57" i="8"/>
  <c r="R56" i="8"/>
  <c r="S56" i="8"/>
  <c r="P56" i="8"/>
  <c r="Q54" i="8"/>
  <c r="T53" i="8"/>
  <c r="Q53" i="8"/>
  <c r="R52" i="8"/>
  <c r="S52" i="8"/>
  <c r="P52" i="8"/>
  <c r="S45" i="8"/>
  <c r="R45" i="8"/>
  <c r="M44" i="8"/>
  <c r="P45" i="8"/>
  <c r="O44" i="8"/>
  <c r="S36" i="8"/>
  <c r="P36" i="8"/>
  <c r="L22" i="8"/>
  <c r="R19" i="8"/>
  <c r="S19" i="8"/>
  <c r="P19" i="8"/>
  <c r="I42" i="9"/>
  <c r="I41" i="9" s="1"/>
  <c r="G39" i="9"/>
  <c r="G23" i="9"/>
  <c r="I19" i="9"/>
  <c r="G16" i="9"/>
  <c r="H16" i="9"/>
  <c r="G14" i="9"/>
  <c r="G12" i="9"/>
  <c r="H12" i="9"/>
  <c r="J11" i="9"/>
  <c r="G10" i="9"/>
  <c r="G8" i="9"/>
  <c r="H8" i="9"/>
  <c r="J7" i="9"/>
  <c r="G6" i="9"/>
  <c r="C4" i="9"/>
  <c r="S64" i="8"/>
  <c r="P64" i="8"/>
  <c r="L44" i="8"/>
  <c r="H44" i="8"/>
  <c r="R34" i="8"/>
  <c r="S34" i="8"/>
  <c r="T34" i="8"/>
  <c r="O22" i="8"/>
  <c r="K22" i="8"/>
  <c r="R25" i="8"/>
  <c r="S25" i="8"/>
  <c r="G22" i="8"/>
  <c r="Q51" i="8"/>
  <c r="R48" i="8"/>
  <c r="T46" i="8"/>
  <c r="R35" i="8"/>
  <c r="S35" i="8"/>
  <c r="P33" i="8"/>
  <c r="T33" i="8"/>
  <c r="Q33" i="8"/>
  <c r="R27" i="8"/>
  <c r="S27" i="8"/>
  <c r="P25" i="8"/>
  <c r="T25" i="8"/>
  <c r="Q25" i="8"/>
  <c r="U22" i="8"/>
  <c r="S16" i="8"/>
  <c r="P16" i="8"/>
  <c r="L4" i="8"/>
  <c r="H4" i="8"/>
  <c r="S50" i="8"/>
  <c r="T50" i="8"/>
  <c r="P49" i="8"/>
  <c r="P46" i="8"/>
  <c r="T42" i="8"/>
  <c r="Q42" i="8"/>
  <c r="Q41" i="8" s="1"/>
  <c r="N41" i="8"/>
  <c r="T41" i="8" s="1"/>
  <c r="Q39" i="8"/>
  <c r="J38" i="8"/>
  <c r="P35" i="8"/>
  <c r="S32" i="8"/>
  <c r="P32" i="8"/>
  <c r="P27" i="8"/>
  <c r="S24" i="8"/>
  <c r="P24" i="8"/>
  <c r="N22" i="8"/>
  <c r="J22" i="8"/>
  <c r="P21" i="8"/>
  <c r="T21" i="8"/>
  <c r="Q21" i="8"/>
  <c r="R15" i="8"/>
  <c r="S15" i="8"/>
  <c r="T14" i="8"/>
  <c r="Q14" i="8"/>
  <c r="P13" i="8"/>
  <c r="T13" i="8"/>
  <c r="Q13" i="8"/>
  <c r="T10" i="8"/>
  <c r="R10" i="8"/>
  <c r="T6" i="8"/>
  <c r="R6" i="8"/>
  <c r="O4" i="8"/>
  <c r="K4" i="8"/>
  <c r="G4" i="8"/>
  <c r="N44" i="8"/>
  <c r="J44" i="8"/>
  <c r="S40" i="8"/>
  <c r="P40" i="8"/>
  <c r="M38" i="8"/>
  <c r="I38" i="8"/>
  <c r="P37" i="8"/>
  <c r="T37" i="8"/>
  <c r="Q37" i="8"/>
  <c r="Q32" i="8"/>
  <c r="R31" i="8"/>
  <c r="S31" i="8"/>
  <c r="P29" i="8"/>
  <c r="T29" i="8"/>
  <c r="Q29" i="8"/>
  <c r="Q24" i="8"/>
  <c r="M22" i="8"/>
  <c r="S22" i="8" s="1"/>
  <c r="R23" i="8"/>
  <c r="S23" i="8"/>
  <c r="I22" i="8"/>
  <c r="S20" i="8"/>
  <c r="P20" i="8"/>
  <c r="S14" i="8"/>
  <c r="S12" i="8"/>
  <c r="P12" i="8"/>
  <c r="P9" i="8"/>
  <c r="T9" i="8"/>
  <c r="Q9" i="8"/>
  <c r="R8" i="8"/>
  <c r="S8" i="8"/>
  <c r="P8" i="8"/>
  <c r="N4" i="8"/>
  <c r="P5" i="8"/>
  <c r="T5" i="8"/>
  <c r="Q5" i="8"/>
  <c r="J4" i="8"/>
  <c r="M41" i="8"/>
  <c r="S41" i="8" s="1"/>
  <c r="N38" i="8"/>
  <c r="S11" i="8"/>
  <c r="S7" i="8"/>
  <c r="G67" i="9" l="1"/>
  <c r="H67" i="9"/>
  <c r="R22" i="8"/>
  <c r="G44" i="9"/>
  <c r="I38" i="9"/>
  <c r="I22" i="9"/>
  <c r="Q44" i="8"/>
  <c r="P67" i="8"/>
  <c r="R67" i="8"/>
  <c r="I44" i="9"/>
  <c r="I67" i="9"/>
  <c r="R4" i="8"/>
  <c r="H44" i="9"/>
  <c r="P44" i="8"/>
  <c r="R44" i="8"/>
  <c r="Q67" i="8"/>
  <c r="I4" i="9"/>
  <c r="T67" i="8"/>
  <c r="T38" i="8"/>
  <c r="J43" i="8"/>
  <c r="T22" i="8"/>
  <c r="Q38" i="8"/>
  <c r="S67" i="8"/>
  <c r="J38" i="9"/>
  <c r="S38" i="8"/>
  <c r="K43" i="8"/>
  <c r="O43" i="8"/>
  <c r="P38" i="8"/>
  <c r="H43" i="8"/>
  <c r="G38" i="9"/>
  <c r="E43" i="9"/>
  <c r="F3" i="9"/>
  <c r="C43" i="9"/>
  <c r="I43" i="8"/>
  <c r="G43" i="8"/>
  <c r="U43" i="8"/>
  <c r="L43" i="8"/>
  <c r="Q22" i="8"/>
  <c r="C3" i="9"/>
  <c r="B3" i="9"/>
  <c r="P4" i="8"/>
  <c r="H38" i="9"/>
  <c r="O3" i="8"/>
  <c r="H3" i="8"/>
  <c r="J3" i="8"/>
  <c r="I3" i="8"/>
  <c r="L3" i="8"/>
  <c r="G22" i="9"/>
  <c r="J67" i="9"/>
  <c r="G3" i="8"/>
  <c r="H4" i="9"/>
  <c r="B43" i="9"/>
  <c r="G4" i="9"/>
  <c r="D3" i="9"/>
  <c r="J4" i="9"/>
  <c r="H22" i="9"/>
  <c r="E3" i="9"/>
  <c r="J22" i="9"/>
  <c r="F43" i="9"/>
  <c r="M2" i="4"/>
  <c r="Q2" i="4" s="1"/>
  <c r="Q3" i="4"/>
  <c r="N3" i="8"/>
  <c r="T4" i="8"/>
  <c r="N43" i="8"/>
  <c r="T44" i="8"/>
  <c r="P22" i="8"/>
  <c r="D43" i="9"/>
  <c r="J44" i="9"/>
  <c r="Q4" i="8"/>
  <c r="K3" i="8"/>
  <c r="S4" i="8"/>
  <c r="U3" i="8"/>
  <c r="M43" i="8"/>
  <c r="S44" i="8"/>
  <c r="M3" i="8"/>
  <c r="P43" i="8" l="1"/>
  <c r="R43" i="8"/>
  <c r="Q43" i="8"/>
  <c r="I43" i="9"/>
  <c r="G43" i="9"/>
  <c r="H43" i="9"/>
  <c r="R3" i="8"/>
  <c r="I3" i="9"/>
  <c r="K2" i="8"/>
  <c r="U2" i="8"/>
  <c r="O2" i="8"/>
  <c r="I2" i="8"/>
  <c r="J2" i="8"/>
  <c r="H2" i="8"/>
  <c r="F2" i="9"/>
  <c r="T43" i="8"/>
  <c r="S43" i="8"/>
  <c r="G3" i="9"/>
  <c r="G2" i="8"/>
  <c r="C2" i="9"/>
  <c r="Q3" i="8"/>
  <c r="E2" i="9"/>
  <c r="B2" i="9"/>
  <c r="L2" i="8"/>
  <c r="P3" i="8"/>
  <c r="P2" i="8" s="1"/>
  <c r="H3" i="9"/>
  <c r="J43" i="9"/>
  <c r="M2" i="8"/>
  <c r="S3" i="8"/>
  <c r="N2" i="8"/>
  <c r="T3" i="8"/>
  <c r="J3" i="9"/>
  <c r="D2" i="9"/>
  <c r="R2" i="8" l="1"/>
  <c r="Q2" i="8"/>
  <c r="I2" i="9"/>
  <c r="G2" i="9"/>
  <c r="H2" i="9"/>
  <c r="S2" i="8"/>
  <c r="T2" i="8"/>
  <c r="J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Familia Zutta</author>
    <author>Desktop</author>
    <author>funcionarios</author>
  </authors>
  <commentList>
    <comment ref="B32" authorId="0" shapeId="0" xr:uid="{4E88730E-06A6-49CA-A93D-9607FDAF5E94}">
      <text>
        <r>
          <rPr>
            <b/>
            <sz val="9"/>
            <color indexed="81"/>
            <rFont val="Tahoma"/>
            <family val="2"/>
          </rPr>
          <t>Familia Zutta:</t>
        </r>
        <r>
          <rPr>
            <sz val="9"/>
            <color indexed="81"/>
            <rFont val="Tahoma"/>
            <family val="2"/>
          </rPr>
          <t xml:space="preserve">
PAPELERIA, REPUESTOS</t>
        </r>
      </text>
    </comment>
    <comment ref="B34" authorId="1" shapeId="0" xr:uid="{145C9B70-FD6D-40FC-8F82-1774A97BFE15}">
      <text>
        <r>
          <rPr>
            <b/>
            <sz val="9"/>
            <color indexed="81"/>
            <rFont val="Tahoma"/>
            <family val="2"/>
          </rPr>
          <t>Desktop:</t>
        </r>
        <r>
          <rPr>
            <sz val="9"/>
            <color indexed="81"/>
            <rFont val="Tahoma"/>
            <family val="2"/>
          </rPr>
          <t xml:space="preserve">
viáticos y gatos de viaje &lt;180dias</t>
        </r>
      </text>
    </comment>
    <comment ref="B41" authorId="0" shapeId="0" xr:uid="{8E4E7937-D597-44F0-B381-A5D1CCBCF9AF}">
      <text>
        <r>
          <rPr>
            <b/>
            <sz val="9"/>
            <color indexed="81"/>
            <rFont val="Tahoma"/>
            <family val="2"/>
          </rPr>
          <t>Familia Zutta:</t>
        </r>
        <r>
          <rPr>
            <sz val="9"/>
            <color indexed="81"/>
            <rFont val="Tahoma"/>
            <family val="2"/>
          </rPr>
          <t xml:space="preserve">
va aseo y vigilancia</t>
        </r>
      </text>
    </comment>
    <comment ref="B42" authorId="0" shapeId="0" xr:uid="{4A9BB1D9-8979-4FCA-88B4-9F10579C9D0E}">
      <text>
        <r>
          <rPr>
            <b/>
            <sz val="9"/>
            <color indexed="81"/>
            <rFont val="Tahoma"/>
            <family val="2"/>
          </rPr>
          <t>Familia Zutta:</t>
        </r>
        <r>
          <rPr>
            <sz val="9"/>
            <color indexed="81"/>
            <rFont val="Tahoma"/>
            <family val="2"/>
          </rPr>
          <t xml:space="preserve">
va aseo y vigilancia</t>
        </r>
      </text>
    </comment>
    <comment ref="C48" authorId="1" shapeId="0" xr:uid="{82A1666E-4D61-4FED-9E9D-A3F40985A8B1}">
      <text>
        <r>
          <rPr>
            <b/>
            <sz val="9"/>
            <color indexed="81"/>
            <rFont val="Tahoma"/>
            <family val="2"/>
          </rPr>
          <t>Desktop:</t>
        </r>
        <r>
          <rPr>
            <sz val="9"/>
            <color indexed="81"/>
            <rFont val="Tahoma"/>
            <family val="2"/>
          </rPr>
          <t xml:space="preserve">
incluye mtto y repar, otros gastosxadqserv y otros GG/aquí caja menor</t>
        </r>
      </text>
    </comment>
    <comment ref="C74" authorId="2" shapeId="0" xr:uid="{882682F2-AD70-4AD3-A03E-E9F127E4E618}">
      <text>
        <r>
          <rPr>
            <b/>
            <sz val="9"/>
            <color indexed="81"/>
            <rFont val="Tahoma"/>
            <family val="2"/>
          </rPr>
          <t>funcionarios:</t>
        </r>
        <r>
          <rPr>
            <sz val="9"/>
            <color indexed="81"/>
            <rFont val="Tahoma"/>
            <family val="2"/>
          </rPr>
          <t xml:space="preserve">
va claudia osorno
</t>
        </r>
      </text>
    </comment>
    <comment ref="C77" authorId="2" shapeId="0" xr:uid="{5C2D6707-B40C-4A93-8B0B-9CA3113A0344}">
      <text>
        <r>
          <rPr>
            <b/>
            <sz val="9"/>
            <color indexed="81"/>
            <rFont val="Tahoma"/>
            <family val="2"/>
          </rPr>
          <t>funcionarios:</t>
        </r>
        <r>
          <rPr>
            <sz val="9"/>
            <color indexed="81"/>
            <rFont val="Tahoma"/>
            <family val="2"/>
          </rPr>
          <t xml:space="preserve">
va claudia osorno
</t>
        </r>
      </text>
    </comment>
    <comment ref="C106" authorId="2" shapeId="0" xr:uid="{24FBFB16-D009-4E7A-ADE6-8C137E5DDF53}">
      <text>
        <r>
          <rPr>
            <b/>
            <sz val="9"/>
            <color indexed="81"/>
            <rFont val="Tahoma"/>
            <family val="2"/>
          </rPr>
          <t>funcionarios:</t>
        </r>
        <r>
          <rPr>
            <sz val="9"/>
            <color indexed="81"/>
            <rFont val="Tahoma"/>
            <family val="2"/>
          </rPr>
          <t xml:space="preserve">
sandra diaz y 2 desarrolladore</t>
        </r>
      </text>
    </comment>
    <comment ref="C140" authorId="0" shapeId="0" xr:uid="{349E310C-3568-4932-9E5E-588FC81FB8DF}">
      <text>
        <r>
          <rPr>
            <b/>
            <sz val="9"/>
            <color indexed="81"/>
            <rFont val="Tahoma"/>
            <family val="2"/>
          </rPr>
          <t>Familia Zutta:</t>
        </r>
        <r>
          <rPr>
            <sz val="9"/>
            <color indexed="81"/>
            <rFont val="Tahoma"/>
            <family val="2"/>
          </rPr>
          <t xml:space="preserve">
rec bce
</t>
        </r>
      </text>
    </comment>
    <comment ref="C141" authorId="0" shapeId="0" xr:uid="{53038A76-A391-424A-9E49-542D699FB957}">
      <text>
        <r>
          <rPr>
            <b/>
            <sz val="9"/>
            <color indexed="81"/>
            <rFont val="Tahoma"/>
            <family val="2"/>
          </rPr>
          <t>Familia Zutta:</t>
        </r>
        <r>
          <rPr>
            <sz val="9"/>
            <color indexed="81"/>
            <rFont val="Tahoma"/>
            <family val="2"/>
          </rPr>
          <t xml:space="preserve">
rec bce</t>
        </r>
      </text>
    </comment>
    <comment ref="C160" authorId="0" shapeId="0" xr:uid="{31D5F110-A9C8-4AE4-8C39-01141F721F4A}">
      <text>
        <r>
          <rPr>
            <b/>
            <sz val="9"/>
            <color indexed="81"/>
            <rFont val="Tahoma"/>
            <family val="2"/>
          </rPr>
          <t>Familia Zutta:</t>
        </r>
        <r>
          <rPr>
            <sz val="9"/>
            <color indexed="81"/>
            <rFont val="Tahoma"/>
            <family val="2"/>
          </rPr>
          <t xml:space="preserve">
rec bce
</t>
        </r>
      </text>
    </comment>
    <comment ref="B181" authorId="0" shapeId="0" xr:uid="{D25C0745-C628-4754-B45F-8E023165ED76}">
      <text>
        <r>
          <rPr>
            <b/>
            <sz val="9"/>
            <color indexed="81"/>
            <rFont val="Tahoma"/>
            <family val="2"/>
          </rPr>
          <t>Familia Zutta:</t>
        </r>
        <r>
          <rPr>
            <sz val="9"/>
            <color indexed="81"/>
            <rFont val="Tahoma"/>
            <family val="2"/>
          </rPr>
          <t xml:space="preserve">
propuestas aprobadas por Mincultura en 2019</t>
        </r>
      </text>
    </comment>
    <comment ref="C183" authorId="0" shapeId="0" xr:uid="{62BE2907-6E76-4906-B7E9-33DF32B7A389}">
      <text>
        <r>
          <rPr>
            <b/>
            <sz val="9"/>
            <color indexed="81"/>
            <rFont val="Tahoma"/>
            <family val="2"/>
          </rPr>
          <t>Familia Zutta:</t>
        </r>
        <r>
          <rPr>
            <sz val="9"/>
            <color indexed="81"/>
            <rFont val="Tahoma"/>
            <family val="2"/>
          </rPr>
          <t xml:space="preserve">
rec balance</t>
        </r>
      </text>
    </comment>
    <comment ref="B211" authorId="1" shapeId="0" xr:uid="{6F86A450-7649-4AD1-91F7-71FAC4806C12}">
      <text>
        <r>
          <rPr>
            <b/>
            <sz val="9"/>
            <color indexed="81"/>
            <rFont val="Tahoma"/>
            <family val="2"/>
          </rPr>
          <t>Desktop:</t>
        </r>
        <r>
          <rPr>
            <sz val="9"/>
            <color indexed="81"/>
            <rFont val="Tahoma"/>
            <family val="2"/>
          </rPr>
          <t xml:space="preserve">
NO ESTA EN CUADRO DE  CARLOS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Familia Zutta</author>
    <author>Desktop</author>
  </authors>
  <commentList>
    <comment ref="A25" authorId="0" shapeId="0" xr:uid="{14608C44-A283-4C80-B7A3-448893EAE778}">
      <text>
        <r>
          <rPr>
            <b/>
            <sz val="9"/>
            <color indexed="81"/>
            <rFont val="Tahoma"/>
            <family val="2"/>
          </rPr>
          <t>Familia Zutta:</t>
        </r>
        <r>
          <rPr>
            <sz val="9"/>
            <color indexed="81"/>
            <rFont val="Tahoma"/>
            <family val="2"/>
          </rPr>
          <t xml:space="preserve">
PAPELERIA, REPUESTOS</t>
        </r>
      </text>
    </comment>
    <comment ref="A26" authorId="1" shapeId="0" xr:uid="{93144521-7AAC-48EC-88E9-F3F0ED4A9FA0}">
      <text>
        <r>
          <rPr>
            <b/>
            <sz val="9"/>
            <color indexed="81"/>
            <rFont val="Tahoma"/>
            <family val="2"/>
          </rPr>
          <t>Desktop:</t>
        </r>
        <r>
          <rPr>
            <sz val="9"/>
            <color indexed="81"/>
            <rFont val="Tahoma"/>
            <family val="2"/>
          </rPr>
          <t xml:space="preserve">
viáticos y gatos de viaje &lt;180dias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Familia Zutta</author>
  </authors>
  <commentList>
    <comment ref="A4" authorId="0" shapeId="0" xr:uid="{B6B7B07F-71B5-4FB3-871D-F860D335ED84}">
      <text>
        <r>
          <rPr>
            <b/>
            <sz val="9"/>
            <color indexed="81"/>
            <rFont val="Tahoma"/>
            <family val="2"/>
          </rPr>
          <t>Familia Zutta:</t>
        </r>
        <r>
          <rPr>
            <sz val="9"/>
            <color indexed="81"/>
            <rFont val="Tahoma"/>
            <family val="2"/>
          </rPr>
          <t xml:space="preserve">
va aseo y vigilancia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Familia Zutta</author>
    <author>Desktop</author>
  </authors>
  <commentList>
    <comment ref="A27" authorId="0" shapeId="0" xr:uid="{A8B4EE63-652F-41B9-B11B-936E432BB9EC}">
      <text>
        <r>
          <rPr>
            <b/>
            <sz val="9"/>
            <color indexed="81"/>
            <rFont val="Tahoma"/>
            <family val="2"/>
          </rPr>
          <t>Familia Zutta:</t>
        </r>
        <r>
          <rPr>
            <sz val="9"/>
            <color indexed="81"/>
            <rFont val="Tahoma"/>
            <family val="2"/>
          </rPr>
          <t xml:space="preserve">
PAPELERIA, REPUESTOS</t>
        </r>
      </text>
    </comment>
    <comment ref="A28" authorId="1" shapeId="0" xr:uid="{5000EDB7-2A6A-407E-8DC5-639E17DF034A}">
      <text>
        <r>
          <rPr>
            <b/>
            <sz val="9"/>
            <color indexed="81"/>
            <rFont val="Tahoma"/>
            <family val="2"/>
          </rPr>
          <t>Desktop:</t>
        </r>
        <r>
          <rPr>
            <sz val="9"/>
            <color indexed="81"/>
            <rFont val="Tahoma"/>
            <family val="2"/>
          </rPr>
          <t xml:space="preserve">
viáticos y gatos de viaje &lt;180dias</t>
        </r>
      </text>
    </comment>
  </commentList>
</comments>
</file>

<file path=xl/sharedStrings.xml><?xml version="1.0" encoding="utf-8"?>
<sst xmlns="http://schemas.openxmlformats.org/spreadsheetml/2006/main" count="3722" uniqueCount="999">
  <si>
    <t>cod1</t>
  </si>
  <si>
    <t>cod2</t>
  </si>
  <si>
    <t>cod3</t>
  </si>
  <si>
    <t>cod4</t>
  </si>
  <si>
    <t>cod5</t>
  </si>
  <si>
    <t>cod6</t>
  </si>
  <si>
    <t>decrp1</t>
  </si>
  <si>
    <t>decrp2</t>
  </si>
  <si>
    <t>decrp3</t>
  </si>
  <si>
    <t>decrp4</t>
  </si>
  <si>
    <t>decrp5</t>
  </si>
  <si>
    <t>decrp6</t>
  </si>
  <si>
    <t>nombre_proyecto</t>
  </si>
  <si>
    <t>codigo_rubro</t>
  </si>
  <si>
    <t>codigo_resumido</t>
  </si>
  <si>
    <t>rubro</t>
  </si>
  <si>
    <t>apropiacion</t>
  </si>
  <si>
    <t>definitivo</t>
  </si>
  <si>
    <t>ordenaciones</t>
  </si>
  <si>
    <t>disponibilidades</t>
  </si>
  <si>
    <t>disponible</t>
  </si>
  <si>
    <t>ejecucion</t>
  </si>
  <si>
    <t>compromisos</t>
  </si>
  <si>
    <t>por_ejecutar</t>
  </si>
  <si>
    <t>pagos</t>
  </si>
  <si>
    <t>saldo_disponibilidades</t>
  </si>
  <si>
    <t>2</t>
  </si>
  <si>
    <t>0</t>
  </si>
  <si>
    <t>1010</t>
  </si>
  <si>
    <t>1</t>
  </si>
  <si>
    <t>01</t>
  </si>
  <si>
    <t>PRESUPUESTO DE GASTOS</t>
  </si>
  <si>
    <t>VIGENCIA ACTUAL</t>
  </si>
  <si>
    <t>FONDOS COMUNES</t>
  </si>
  <si>
    <t>GASTOS DE FUNCIONAMIENTO</t>
  </si>
  <si>
    <t>GASTOS DE PERSONAL</t>
  </si>
  <si>
    <t>Sueldos de personal de nomina</t>
  </si>
  <si>
    <t>201010101010001111</t>
  </si>
  <si>
    <t>Horas extras y días festivos</t>
  </si>
  <si>
    <t>201010101010001113</t>
  </si>
  <si>
    <t>Primas legales</t>
  </si>
  <si>
    <t>201010101010001114</t>
  </si>
  <si>
    <t>Pagos directos de cesantías parciales y/o definitivas</t>
  </si>
  <si>
    <t>201010101010011110</t>
  </si>
  <si>
    <t>Auxilio de transporte de funcionarios</t>
  </si>
  <si>
    <t>201010101010011171</t>
  </si>
  <si>
    <t xml:space="preserve"> Indemnizacion de personal</t>
  </si>
  <si>
    <t>201010101020000112</t>
  </si>
  <si>
    <t>03</t>
  </si>
  <si>
    <t>SERVICIOS PERSONALES INDIRECTOS</t>
  </si>
  <si>
    <t xml:space="preserve"> Servicios técnicos</t>
  </si>
  <si>
    <t>201010101030001134</t>
  </si>
  <si>
    <t>Otros servicios personales indirectos</t>
  </si>
  <si>
    <t>201010101030011390</t>
  </si>
  <si>
    <t>Sena de funcionarios</t>
  </si>
  <si>
    <t>201010101040114311</t>
  </si>
  <si>
    <t>Icbf de funcionarios</t>
  </si>
  <si>
    <t>201010101040114321</t>
  </si>
  <si>
    <t>Cajas de compensación familiar de funcionarios</t>
  </si>
  <si>
    <t>201010101040114341</t>
  </si>
  <si>
    <t>Aportes para pensión de funcionarios sector público</t>
  </si>
  <si>
    <t>201010101041141121</t>
  </si>
  <si>
    <t>Aportes arp de funcionarios sector público</t>
  </si>
  <si>
    <t>201010101041141131</t>
  </si>
  <si>
    <t>Aportes para cesantías de funcionarios sector público</t>
  </si>
  <si>
    <t>201010101041141141</t>
  </si>
  <si>
    <t>Aportes para salud de funcionarios sector privado</t>
  </si>
  <si>
    <t>201010101041142111</t>
  </si>
  <si>
    <t>Aportes para pensión de funcionarios sector privado</t>
  </si>
  <si>
    <t>201010101041142121</t>
  </si>
  <si>
    <t>Aportes para cesantías de funcionarios sector privado</t>
  </si>
  <si>
    <t>201010101041142141</t>
  </si>
  <si>
    <t>GASTOS GENERALES</t>
  </si>
  <si>
    <t>Materiales y suministros</t>
  </si>
  <si>
    <t>201010102050001212</t>
  </si>
  <si>
    <t>Capacitación personal administrativo</t>
  </si>
  <si>
    <t>201010102060001221</t>
  </si>
  <si>
    <t xml:space="preserve"> Impresos y publicaciones</t>
  </si>
  <si>
    <t>201010102060001222</t>
  </si>
  <si>
    <t>Contribuciones, tasas, impuestos y multas</t>
  </si>
  <si>
    <t>201010102060001224</t>
  </si>
  <si>
    <t xml:space="preserve"> Mantenimiento y reparaciones</t>
  </si>
  <si>
    <t>201010102060012211</t>
  </si>
  <si>
    <t>Seguros de bienes muebles e inmuebles</t>
  </si>
  <si>
    <t>201010102060012231</t>
  </si>
  <si>
    <t xml:space="preserve"> Otros seguros</t>
  </si>
  <si>
    <t>201010102060012234</t>
  </si>
  <si>
    <t xml:space="preserve"> Energía</t>
  </si>
  <si>
    <t>201010102060012261</t>
  </si>
  <si>
    <t>Telecomunicaciones</t>
  </si>
  <si>
    <t>201010102060012262</t>
  </si>
  <si>
    <t xml:space="preserve"> Acueducto, alcantarillado y aseo</t>
  </si>
  <si>
    <t>201010102060012263</t>
  </si>
  <si>
    <t xml:space="preserve"> Viáticos y gastos de transporte y de viaje de funcionarios</t>
  </si>
  <si>
    <t>201010102060012281</t>
  </si>
  <si>
    <t xml:space="preserve"> Otros gastos adquisición de servicios</t>
  </si>
  <si>
    <t>201010102060012290</t>
  </si>
  <si>
    <t xml:space="preserve"> Otros gastos financieros</t>
  </si>
  <si>
    <t>201010102060122125</t>
  </si>
  <si>
    <t xml:space="preserve"> Gastos de bienestar social y salud ocupacional</t>
  </si>
  <si>
    <t>201010102070000124</t>
  </si>
  <si>
    <t xml:space="preserve"> Otros gastos generales</t>
  </si>
  <si>
    <t>201010102080001290</t>
  </si>
  <si>
    <t>Sentencias y conciliaciones</t>
  </si>
  <si>
    <t>201010102090001319</t>
  </si>
  <si>
    <t>201010102090001367</t>
  </si>
  <si>
    <t>CULTURA</t>
  </si>
  <si>
    <t>Desarrollo de convocatorias públicas para la creación, la innovación y el fortalecimiento cultural</t>
  </si>
  <si>
    <t>201010A05100600000</t>
  </si>
  <si>
    <t>Implementación de agenda institucional local y regional para el posconflicto en Antioquia</t>
  </si>
  <si>
    <t>201010A05110600100</t>
  </si>
  <si>
    <t>Implementación plan de lectura, escritura y biblioteca en Antioquia</t>
  </si>
  <si>
    <t>201010A05120600180</t>
  </si>
  <si>
    <t>Fortalecimiento circulación artística y cultural para la paz en Antioquia</t>
  </si>
  <si>
    <t>201010A05130600270</t>
  </si>
  <si>
    <t>Formación artística y cultural para la Equidad y la Movilidad Social en Antioquia</t>
  </si>
  <si>
    <t>201010A05130600340</t>
  </si>
  <si>
    <t>Implementación procesos de gestión y planificación cultural para el fortalecimiento del Sistema Departamental de Cultura en Antioquia</t>
  </si>
  <si>
    <t>201010A05140600420</t>
  </si>
  <si>
    <t>Diagnóstico, gestión y Salvaguardia del Patrimonio Cultural en Antioquia</t>
  </si>
  <si>
    <t>201010A05150600410</t>
  </si>
  <si>
    <t>Mantenimiento, adecuación y dotación de equipamientos culturales en Antioquia</t>
  </si>
  <si>
    <t>201010A05160600430</t>
  </si>
  <si>
    <t>FORTALECIMIENTO INSTITUCIONAL</t>
  </si>
  <si>
    <t>Fortalecimiento de los sistemas de información institucional en Antioquia</t>
  </si>
  <si>
    <t>201010A17170600350</t>
  </si>
  <si>
    <t>Fortalecimiento del Sistema Integrado de Gestión del Instituto de Cultura y Patrimonio de Antioquia</t>
  </si>
  <si>
    <t>201010A17180600320</t>
  </si>
  <si>
    <t>201011A05100600000</t>
  </si>
  <si>
    <t>201011A05120600180</t>
  </si>
  <si>
    <t>201011A05130600270</t>
  </si>
  <si>
    <t>201011A05160600430</t>
  </si>
  <si>
    <t>202708A05100600000</t>
  </si>
  <si>
    <t>203131A05150600410</t>
  </si>
  <si>
    <t>241011A05110600100</t>
  </si>
  <si>
    <t>241011A05120600180</t>
  </si>
  <si>
    <t>241011A05130600340</t>
  </si>
  <si>
    <t>241011A05140600420</t>
  </si>
  <si>
    <t>241011A05150600410</t>
  </si>
  <si>
    <t>241011A05160600430</t>
  </si>
  <si>
    <t>242708A05100600000</t>
  </si>
  <si>
    <t>243131A05150600410</t>
  </si>
  <si>
    <t>291010101030011390</t>
  </si>
  <si>
    <t>CONCEPTO</t>
  </si>
  <si>
    <t>PEP</t>
  </si>
  <si>
    <t>C.R.</t>
  </si>
  <si>
    <t>RUBRO</t>
  </si>
  <si>
    <t>T.REC</t>
  </si>
  <si>
    <t>APROPIACIÓN</t>
  </si>
  <si>
    <t>TOTAL ADICIÓN</t>
  </si>
  <si>
    <t>TOTAL REDUCCIONES</t>
  </si>
  <si>
    <t>TOTAL CREDITO</t>
  </si>
  <si>
    <t>TOTAL CONTRACREDITO</t>
  </si>
  <si>
    <t>PRESUPUESTO ACTUAL</t>
  </si>
  <si>
    <t>TOTAL DISPONIBILIDAD</t>
  </si>
  <si>
    <t>TOTAL COMPROMISO</t>
  </si>
  <si>
    <t>TOTAL ORD. PAGO</t>
  </si>
  <si>
    <t>PAGADO</t>
  </si>
  <si>
    <t>POR EJECUTAR</t>
  </si>
  <si>
    <t>% EJECUCIÓN CONTRATADO</t>
  </si>
  <si>
    <t>% EJECUCIÓN PAGADO</t>
  </si>
  <si>
    <t xml:space="preserve"> DISPONIBILIDAD_MS</t>
  </si>
  <si>
    <t>COMPROMISO_MS</t>
  </si>
  <si>
    <t>TOTAL ORD. PAGO_MS</t>
  </si>
  <si>
    <t>PAGADO_MS</t>
  </si>
  <si>
    <t>TOTAL PRESUPUESTO</t>
  </si>
  <si>
    <t>FUNCIONAMIENTO</t>
  </si>
  <si>
    <t>0001111</t>
  </si>
  <si>
    <t>201010</t>
  </si>
  <si>
    <t>0001113</t>
  </si>
  <si>
    <t>0001114</t>
  </si>
  <si>
    <t>0011110</t>
  </si>
  <si>
    <t>0011171</t>
  </si>
  <si>
    <t>0000112</t>
  </si>
  <si>
    <t>0001134</t>
  </si>
  <si>
    <t>0011390</t>
  </si>
  <si>
    <t>0114311</t>
  </si>
  <si>
    <t>0114321</t>
  </si>
  <si>
    <t>0114341</t>
  </si>
  <si>
    <t>1141121</t>
  </si>
  <si>
    <t>1141131</t>
  </si>
  <si>
    <t>1141141</t>
  </si>
  <si>
    <t>1142111</t>
  </si>
  <si>
    <t>1142121</t>
  </si>
  <si>
    <t>1142141</t>
  </si>
  <si>
    <t>0001212</t>
  </si>
  <si>
    <t>0001221</t>
  </si>
  <si>
    <t>0001222</t>
  </si>
  <si>
    <t>0001224</t>
  </si>
  <si>
    <t>0012211</t>
  </si>
  <si>
    <t>0012231</t>
  </si>
  <si>
    <t>0012234</t>
  </si>
  <si>
    <t>0012261</t>
  </si>
  <si>
    <t>0012262</t>
  </si>
  <si>
    <t>0012263</t>
  </si>
  <si>
    <t>0012281</t>
  </si>
  <si>
    <t>0012290</t>
  </si>
  <si>
    <t>0122125</t>
  </si>
  <si>
    <t>0000124</t>
  </si>
  <si>
    <t>0001290</t>
  </si>
  <si>
    <t>TRANSFERENCIAS</t>
  </si>
  <si>
    <t>0001319</t>
  </si>
  <si>
    <t xml:space="preserve"> Transferencias corrientes a otras entidades</t>
  </si>
  <si>
    <t>0001367</t>
  </si>
  <si>
    <t>VIGENCIAS FUTURAS GASTOS DE FUNCIONAMIENTO</t>
  </si>
  <si>
    <t>INVERSIÓN</t>
  </si>
  <si>
    <t>NOMBRE DEL PROYECTO</t>
  </si>
  <si>
    <t>AGREGADO</t>
  </si>
  <si>
    <t>PTO. DEFINITIVO</t>
  </si>
  <si>
    <t xml:space="preserve"> DISPONIBILIDAD</t>
  </si>
  <si>
    <t>SALDO CDP</t>
  </si>
  <si>
    <t>COMPROMETIDO</t>
  </si>
  <si>
    <t>TOTAL O. P.</t>
  </si>
  <si>
    <t>DISPONIBLE</t>
  </si>
  <si>
    <t>% CONTRATADO</t>
  </si>
  <si>
    <t>%  O.P</t>
  </si>
  <si>
    <t>DISPONIBLE POR PROYECTO</t>
  </si>
  <si>
    <t>0-1010</t>
  </si>
  <si>
    <t>Fondos comunes</t>
  </si>
  <si>
    <t>0-1011</t>
  </si>
  <si>
    <t>4-1011</t>
  </si>
  <si>
    <t>0-2708</t>
  </si>
  <si>
    <t>TOTAL INVERSIÓN</t>
  </si>
  <si>
    <t xml:space="preserve">% EJECUCIÓN </t>
  </si>
  <si>
    <t xml:space="preserve">TOTAL VIGENCIAS FUTURAS </t>
  </si>
  <si>
    <t>DESCRIPCIÓN</t>
  </si>
  <si>
    <t>FONDO</t>
  </si>
  <si>
    <t>ÁREA FUNCIONAL</t>
  </si>
  <si>
    <t>PROGRAMA</t>
  </si>
  <si>
    <t>POSPRE (Posición presupuestal)</t>
  </si>
  <si>
    <t>PRESUPUESTO DEFINITIVO</t>
  </si>
  <si>
    <t>SALDO REGISTRO</t>
  </si>
  <si>
    <t>CUENTA POR PAGAR</t>
  </si>
  <si>
    <t>SALDO FACTURAS (Obligaciones)</t>
  </si>
  <si>
    <t>PAGOS</t>
  </si>
  <si>
    <t>% EJECUCIÓN</t>
  </si>
  <si>
    <t>PENDIENTE DE PAGO</t>
  </si>
  <si>
    <t>Otros gastos generales</t>
  </si>
  <si>
    <t>GASTOS DE INVERSIÓN</t>
  </si>
  <si>
    <t>0600000</t>
  </si>
  <si>
    <t>0600430</t>
  </si>
  <si>
    <t>0600180</t>
  </si>
  <si>
    <t>0600410</t>
  </si>
  <si>
    <t>TOTAL</t>
  </si>
  <si>
    <t>saldo_disp</t>
  </si>
  <si>
    <t>saldo_o</t>
  </si>
  <si>
    <t>nombre_empresa</t>
  </si>
  <si>
    <t>nombre_dependencia</t>
  </si>
  <si>
    <t>nombre1</t>
  </si>
  <si>
    <t>nombre2</t>
  </si>
  <si>
    <t>cargo1</t>
  </si>
  <si>
    <t>cargo2</t>
  </si>
  <si>
    <t>nombre_moneda</t>
  </si>
  <si>
    <t>valor_pesos</t>
  </si>
  <si>
    <t>INSTITUTO DE CULTURA Y PATRIMONIO DE ANTIOQUIA</t>
  </si>
  <si>
    <t>PRESUPUESTO</t>
  </si>
  <si>
    <t/>
  </si>
  <si>
    <t>Pesos</t>
  </si>
  <si>
    <t>consecutivo</t>
  </si>
  <si>
    <t>fecha_elaboracion</t>
  </si>
  <si>
    <t>fecha_aprobacion</t>
  </si>
  <si>
    <t>valor_total</t>
  </si>
  <si>
    <t>valor_gasto</t>
  </si>
  <si>
    <t>descripcion</t>
  </si>
  <si>
    <t>nit</t>
  </si>
  <si>
    <t>nombre</t>
  </si>
  <si>
    <t>numero_documento</t>
  </si>
  <si>
    <t>fecha_documento</t>
  </si>
  <si>
    <t>valor_iva</t>
  </si>
  <si>
    <t>valor_pagos</t>
  </si>
  <si>
    <t>Valor deducciones</t>
  </si>
  <si>
    <t>Valor neto</t>
  </si>
  <si>
    <t>amortizado</t>
  </si>
  <si>
    <t>no_compromiso</t>
  </si>
  <si>
    <t xml:space="preserve">Desarrollar la propuesta: “La letra con Circo entra”, ganadora de la CONVOCATORIA PÚBLICA “de Circo, mimo y clown, en circulación y creación 2019 en Antioquia”												_x000D_
</t>
  </si>
  <si>
    <t xml:space="preserve">PARDO MONTOYA HECTOR DAVID </t>
  </si>
  <si>
    <t>Cooperar para la realización del proyecto “ADECUACION DE LA CASA DE LA CULTURA DEL MUNICIPIO DE CISNEROS”</t>
  </si>
  <si>
    <t>MUNICIPIO DE CISNEROS</t>
  </si>
  <si>
    <t>Autorizar al municipio de Sonsón para ejecutar los recursos asignados al proyecto “Dotación de la sala patrimonial (archivo y biblioteca), de la Casa de la Cultura Roberto Jaramillo Arango del municipio de Sonsón, como estrategia de mejorar las condicione</t>
  </si>
  <si>
    <t>MUNICIPIO DE SONSÓN</t>
  </si>
  <si>
    <t>Cooperar para la restauración del techo nave lateral derecha del templo la Inmaculada Concepción del municipio de Concepción – Antioquia.</t>
  </si>
  <si>
    <t>MUNICIPIO DE CONCEPCIÓN</t>
  </si>
  <si>
    <t xml:space="preserve">Cooperar para la realización de los "Estudios y diseños para la restauración y conservación de la Casa de la Cultura Ramón Eduardo Duque del Municipio de Granada”._x000D_
_x000D_
</t>
  </si>
  <si>
    <t>MUNICIPIO DE GRANADA</t>
  </si>
  <si>
    <t>Apoyar la realización de la propuesta “Celebración del XXIV Festival Municipal de Teatro ‘Caña Brava: las artes escénicas como un escenario estético, educativo y cultural, Patrimonio Inmaterial de los sonsoneños”, seleccionada en el marco de la Convocator</t>
  </si>
  <si>
    <t xml:space="preserve">Entrega de estimulo para participar en el evento: “"FESTIVAL EITAI: Encuentro Internacional de Teatro, Alternativas e Investigación”, ganadora de la Convocatoria Publica Circulación  2019.												_x000D_
</t>
  </si>
  <si>
    <t>CORPORACION CULTURAL Y ARTISTICA GALEÓN</t>
  </si>
  <si>
    <t>Prestación de servicios artísticos para la elaboración de la escultura denominada “Destellos de Vida” para el punto de encuentro de las ciclorrutas, que se instalará en el municipio de Rionegro Antioquia.</t>
  </si>
  <si>
    <t xml:space="preserve">CASTAÑO PEREZ CAROLINA </t>
  </si>
  <si>
    <t>Desarrollar la propuesta: “ASI ES COLOMBIA”, ganadora de la Convocatoria de Estimulos a la Creación  2019.</t>
  </si>
  <si>
    <t xml:space="preserve">AGUIRRE VASQUEZ CAMILO </t>
  </si>
  <si>
    <t>Realizar el diseño e implementación del diagnóstico participativo, y la formulación del Plan Departamental de Patrimonio Cultural de Antioquia.</t>
  </si>
  <si>
    <t>UNIVERSIDAD DE ANTIOQUIA</t>
  </si>
  <si>
    <t>Desarrollar la propuesta: “Segunda fase de la formulación participativa  e incluyente del plan Municipal de Cultura del Municipio de Jericó” – Grupo 2, seleccionada en el marco de la Convocatoria de Planes Municipales de Cultura - Concertación Departament</t>
  </si>
  <si>
    <t>MUNICIPIO DE JERICO</t>
  </si>
  <si>
    <t>Autorizar al municipio de Santa Fe de Antioquia, Antioquia, para ejecutar los recursos correspondientes al proyecto "DIAGNÓSTICO Y FORMULACIÓN DE PROPUESTA DE INTERVENCIÓN DEL BIC CASA DE LA CUL TURA “Julio Vives Guerra”, o CASA NEGRA DEL MUNICIPIO DE SAN</t>
  </si>
  <si>
    <t>MUNICIPIO DE SANTA FE DE ANTIOQUIA</t>
  </si>
  <si>
    <t>Desarrollar la propuesta: “Fortaleciendo nuestras raices ancestrales ”, ganadora de la Convocatoria de Estimulos a la Creación  2019.</t>
  </si>
  <si>
    <t>INSTITUCION EDUCATIVA RURAL BUENOS AIRES</t>
  </si>
  <si>
    <t>Ejecutar los proyectos “Investigaciones arqueológicas en Frontino, Antioquia: prospección de la cuenca del río Chaquenodá”, e “Historias de vida de silleteros pioneros”, priorizados en la convocatoria de iniciativas para Patrimonio Cultural 2018.</t>
  </si>
  <si>
    <t xml:space="preserve">Cooperar para realizar la “DOTACIÓN DE LA CASA DE LA CULTURA DEL MUNICIPIO DE MURINDO, ANTIOQUIA”. </t>
  </si>
  <si>
    <t>MUNICIPIO DE MURINDO</t>
  </si>
  <si>
    <t>COOPERAR PARA LA REALIZACION DE UNA OBRA ARTISTICA ESCULTURAL LLAMADA "CUSTODIOS DE LA ROSA DE JERICÓ" QUE SE UBICARÁ EN EL PARQUE PRINCIPAL DEL MUNICIPIO DE JERICÓ</t>
  </si>
  <si>
    <t>Ejecutar el proyecto “SEMILLERO JUVENIL DE MÚSICA DE CUERDAS”, priorizado en la convocatoria de iniciativas para Patrimonio Cultural 218</t>
  </si>
  <si>
    <t>Fortalecimiento del sector de la literatura, la lectura y las bibliotecas públicas municipales en Antioquia, a través del desarrollo y mejora de las condiciones de organización, conservación y protección de las colecciones, así como la realización de acti</t>
  </si>
  <si>
    <t>Desarrollar la propuesta: “El día que lo Iban a Matar - Crónica desde el río”, ganadora de la Convocatoria de Estimulos a la Creación  2019.</t>
  </si>
  <si>
    <t xml:space="preserve">VILLADA VERGARA GISSELLE </t>
  </si>
  <si>
    <t xml:space="preserve">Prestar el servicio de impresión de quince (15) obras de artistas antioqueños, que hacen parte de la colección  “VIVAN LOS CREADORES” CONTRATO 271-2019 </t>
  </si>
  <si>
    <t>SUFORMA S.A.S</t>
  </si>
  <si>
    <t xml:space="preserve">Cooperar para la construcción de escultura como homenaje a la memoria del poeta amalfitano “Efraím Antonio Galeano” como reconocimiento y divulgación de la cultura del Municipio de Amalfi. </t>
  </si>
  <si>
    <t>MUNICIPIO DE AMALFI</t>
  </si>
  <si>
    <t xml:space="preserve">Cooperar con el municipio de Tarso para la realización del proyecto “Arte, Poesía y Energía Solar”. </t>
  </si>
  <si>
    <t>MUNICIPIO DE TARSO</t>
  </si>
  <si>
    <t>Prestación de servicios artísticos para la elaboración de la escultura en homenaje al Gobernador “Antonio Roldan Betancur”, que se instalará en las afueras del Centro Administrativo de la Gobernación de Antioquia</t>
  </si>
  <si>
    <t>HERNANDEZ CABRERA MARIO DE JESUS</t>
  </si>
  <si>
    <t xml:space="preserve">Desarrollar la propuesta “Dar continuidad a la elaboración del Plan Municipal de Cultura del Municipio de San Roque”, seleccionada en el marco de la Convocatoria de Planes Municipales de Cultura - Concertación Departamental 2019.												_x000D_
</t>
  </si>
  <si>
    <t>MUNICIPIO DE SAN ROQUE</t>
  </si>
  <si>
    <t>TRASLADO DE CESANTIAS A LOS FONDOS PRIVADOS VIGENCIA 2019 RESOLUCION 862 DE 30 DE DICIEMBRE DE 2019</t>
  </si>
  <si>
    <t>PROTECCION S.A.</t>
  </si>
  <si>
    <t>FONDO DE PENSIONES OBLIGATORIAS COLFONDOS</t>
  </si>
  <si>
    <t>PORVENIR S.A.</t>
  </si>
  <si>
    <t>TRASLADO DE CESANTIAS A LOS FONDOS PUBLICOS VIGENCIA 2019 RESOLUCION 862 DE 30 DE DICIEMBRE DE 2019</t>
  </si>
  <si>
    <t>FONDO NACIONAL DE AHORRO</t>
  </si>
  <si>
    <t>ADICION CONTRATO 019-2019 CUYO OBJETO ES PRESTAR EL SERVICIO DE CORREO CERTIFICADO, QUE COMPRENDA LA RECEPCIÓN, RECOLECCIÓN, ACOPIO Y ENTREGA PERSONALIZADA DE OBJETOS POSTALES DEL INSTITUTO DE CULTURA Y PATRIMONIO DE ANTIOQUIA, A NIVEL LOCAL, NACIONAL E I</t>
  </si>
  <si>
    <t>SERVICIOS POSTALES NACIONALES S.A.</t>
  </si>
  <si>
    <t>Suministro de combustible (ACPM), para los vehículos del Instituto de Cultura y Patrimonio de Antioquia.</t>
  </si>
  <si>
    <t>DISTRACOM S.A.</t>
  </si>
  <si>
    <t>SERVICIO DE IMPRESION DE DOS (2) OBRAS LITERARIAS  Y CULTURALES CON LAS  CUALES SE PROMUEVE LA EDUCACION, LA INCLUSION Y EL USO PEDAGOGICO DE LAS MISMAS ACORDES A LA MISION DEL INSTITUTO DE CULTURA Y PATRIMONIO DE ANTIOQUIA CTO 283-2019</t>
  </si>
  <si>
    <t>JARAMILLO OCHOA JORGE HERNAN</t>
  </si>
  <si>
    <t>Pago de INTERESES A LAS CESANTÍAS del día 16/12/2019 a 30/12/2019</t>
  </si>
  <si>
    <t>Pago de telecomunicaciones pra el servicio de telefonía IP, telefonía móvl e internet para el Instituto de Cultura y Patrimonio de Antioquia igencia 2019</t>
  </si>
  <si>
    <t>UNE EPM TELECOMUNICACIONES S.A.</t>
  </si>
  <si>
    <t>RESERVA</t>
  </si>
  <si>
    <t>CUENTAS POR PAGAR</t>
  </si>
  <si>
    <t>PAGOS  MES</t>
  </si>
  <si>
    <t>0600100</t>
  </si>
  <si>
    <t>0600270</t>
  </si>
  <si>
    <t>0600340</t>
  </si>
  <si>
    <t>0600420</t>
  </si>
  <si>
    <t>201011</t>
  </si>
  <si>
    <t>202708</t>
  </si>
  <si>
    <t>203131</t>
  </si>
  <si>
    <t>241011</t>
  </si>
  <si>
    <t>242708</t>
  </si>
  <si>
    <t>243131</t>
  </si>
  <si>
    <t>0600350</t>
  </si>
  <si>
    <t>0600320</t>
  </si>
  <si>
    <t>241010A17170600350</t>
  </si>
  <si>
    <t>241010</t>
  </si>
  <si>
    <t>reduccion</t>
  </si>
  <si>
    <t>credito</t>
  </si>
  <si>
    <t>contracredito</t>
  </si>
  <si>
    <t>ordenes_acum</t>
  </si>
  <si>
    <t>ordenes_mes</t>
  </si>
  <si>
    <t>410401-</t>
  </si>
  <si>
    <t>0-1010-</t>
  </si>
  <si>
    <t>C33011-</t>
  </si>
  <si>
    <t>060046-</t>
  </si>
  <si>
    <t>06004601-</t>
  </si>
  <si>
    <t>UNIDOS PARA LA CREACIÓN, EL ARTE Y LA CULTURA</t>
  </si>
  <si>
    <t>PráctArtísticas&amp;Culturale</t>
  </si>
  <si>
    <t>Divulgación “procesos de circulación artística y cultural”  Antioquia(900052)</t>
  </si>
  <si>
    <t>Programación propia</t>
  </si>
  <si>
    <t>GASTOS</t>
  </si>
  <si>
    <t>410401-0-1010-C33011-060046-06004601-23202020090201</t>
  </si>
  <si>
    <t>06004602-</t>
  </si>
  <si>
    <t>Iniciativas culturales municipales</t>
  </si>
  <si>
    <t>410401-0-1010-C33011-060046-06004602-23202020090202</t>
  </si>
  <si>
    <t>06004603-</t>
  </si>
  <si>
    <t>Apoyo a Festivales</t>
  </si>
  <si>
    <t>410401-0-1010-C33011-060046-06004603-23202020090203</t>
  </si>
  <si>
    <t>06004604-</t>
  </si>
  <si>
    <t>Procesos y/o actividades de fomento a la lectura</t>
  </si>
  <si>
    <t>410401-0-1010-C33011-060046-06004604-23202020090204</t>
  </si>
  <si>
    <t>06004605-</t>
  </si>
  <si>
    <t>Seguimiento a  iniciativas emprendedoras</t>
  </si>
  <si>
    <t>410401-0-1010-C33011-060046-06004605-23202020090205</t>
  </si>
  <si>
    <t>06004606-</t>
  </si>
  <si>
    <t>Publicaciones apoyadas por el ICPA (Ord 24)</t>
  </si>
  <si>
    <t>410401-0-1010-C33011-060046-06004606-23202020090206</t>
  </si>
  <si>
    <t>C33012-</t>
  </si>
  <si>
    <t>060048-</t>
  </si>
  <si>
    <t>06004801-</t>
  </si>
  <si>
    <t>EstímProcProy&amp;ActivCultur</t>
  </si>
  <si>
    <t>Desarrollo "Portafolio departamental de estímulos y concertación"  Antioquia(900054)</t>
  </si>
  <si>
    <t>Convocatoria de bancos Jurados</t>
  </si>
  <si>
    <t>410401-0-1010-C33012-060048-06004801-23202020090301</t>
  </si>
  <si>
    <t>06004802-</t>
  </si>
  <si>
    <t>Acciones comunicacionales</t>
  </si>
  <si>
    <t>410401-0-1010-C33012-060048-06004802-23202020090302</t>
  </si>
  <si>
    <t>06004803-</t>
  </si>
  <si>
    <t>Conceptualización, estructuración, definición y publicación de convocatorias públicas</t>
  </si>
  <si>
    <t>410401-0-1010-C33012-060048-06004803-23202020090303</t>
  </si>
  <si>
    <t>0-2708-</t>
  </si>
  <si>
    <t>RECURSOS ORDENANZA 12 DE 2015</t>
  </si>
  <si>
    <t>410401-0-2708-C33011-060046-06004603-23202020090211</t>
  </si>
  <si>
    <t>06004607-</t>
  </si>
  <si>
    <t>Día del Tango - Circulación (Ord 53)</t>
  </si>
  <si>
    <t>410401-0-2708-C33011-060046-06004607-23202020090207</t>
  </si>
  <si>
    <t>06004608-</t>
  </si>
  <si>
    <t>Procesos de circulación artística</t>
  </si>
  <si>
    <t>410401-0-2708-C33011-060046-06004608-23202020090208</t>
  </si>
  <si>
    <t>06004609-</t>
  </si>
  <si>
    <t>Apoyo a la realización y participación en eventos culturales</t>
  </si>
  <si>
    <t>410401-0-2708-C33011-060046-06004609-23202020090209</t>
  </si>
  <si>
    <t>06004610-</t>
  </si>
  <si>
    <t>Circulación audiovisual y cinematografía -Circulación (Conv_ Ord 29)/10% de Ord 12</t>
  </si>
  <si>
    <t>410401-0-2708-C33011-060046-06004610-23202020090210</t>
  </si>
  <si>
    <t>06004804-</t>
  </si>
  <si>
    <t>Estimulos audiovisuales y cinematografía - creación (conv_ord 29)/ 10% de ord 12</t>
  </si>
  <si>
    <t>410401-0-2708-C33012-060048-06004804-23202020090304</t>
  </si>
  <si>
    <t>06004805-</t>
  </si>
  <si>
    <t>Estimulos día del Tango - creación (Ord 53)</t>
  </si>
  <si>
    <t>410401-0-2708-C33012-060048-06004805-23202020090305</t>
  </si>
  <si>
    <t>06004806-</t>
  </si>
  <si>
    <t>Convocatoria de Salas Concertadas</t>
  </si>
  <si>
    <t>410401-0-2708-C33012-060048-06004806-23202020090306</t>
  </si>
  <si>
    <t>410402-</t>
  </si>
  <si>
    <t>060045-</t>
  </si>
  <si>
    <t>06004501-</t>
  </si>
  <si>
    <t>ANTIOQUIA VIVE</t>
  </si>
  <si>
    <t>Difusión "Antioquia Vive"  Antioquia(900047)</t>
  </si>
  <si>
    <t>Fortalecimiento a los artístas</t>
  </si>
  <si>
    <t>410402-0-1010-C33011-060045-06004501-23202020090101</t>
  </si>
  <si>
    <t>06004502-</t>
  </si>
  <si>
    <t>Circulación y muestras Artísticas</t>
  </si>
  <si>
    <t>410402-0-1010-C33011-060045-06004502-23202020090102</t>
  </si>
  <si>
    <t>06004503-</t>
  </si>
  <si>
    <t>Presentación, evaluación, clasificación y puesta en escena</t>
  </si>
  <si>
    <t>410402-0-1010-C33011-060045-06004503-23202020090103</t>
  </si>
  <si>
    <t>410403-</t>
  </si>
  <si>
    <t>060051-</t>
  </si>
  <si>
    <t>06005102-</t>
  </si>
  <si>
    <t>UNIDOS PARA LA FORMACION ARTISTICA Y CULTURA</t>
  </si>
  <si>
    <t>Formación artística y cultural  Antioquia(900063)</t>
  </si>
  <si>
    <t xml:space="preserve">Emprendedores formados en temas de industrias creativas y /o economia naranja (Ord 42) </t>
  </si>
  <si>
    <t>410403-0-1010-C33012-060051-06005102-23202020090602</t>
  </si>
  <si>
    <t>F33012-</t>
  </si>
  <si>
    <t>06005101-</t>
  </si>
  <si>
    <t>Vigencias Futuras - EstímProcProy&amp;ActivCultur</t>
  </si>
  <si>
    <t>Programa de profesionalización.VF</t>
  </si>
  <si>
    <t>410403-0-1010-F33012-060051-06005101-23202020090601</t>
  </si>
  <si>
    <t>410404-</t>
  </si>
  <si>
    <t>C33023-</t>
  </si>
  <si>
    <t>060049-</t>
  </si>
  <si>
    <t>06004906-</t>
  </si>
  <si>
    <t>UNIDOS POR EL PATRIMONIO Y LA MEMORIA</t>
  </si>
  <si>
    <t>FormDivulPatrimCultural</t>
  </si>
  <si>
    <t>Conservación "apropiación y divulgación del patrimonio cultural"  Antioquia(900056)</t>
  </si>
  <si>
    <t>Investigaciones en aréas artísticas y culturales AAH (Ord.27)</t>
  </si>
  <si>
    <t>410404-0-1010-C33023-060049-06004906-23202020090406</t>
  </si>
  <si>
    <t>0-3131-</t>
  </si>
  <si>
    <t>06004901-</t>
  </si>
  <si>
    <t>RECURSOS INC - IVA CEDIDO TELEFONIA CELULAR</t>
  </si>
  <si>
    <t>Formulación de proyectos a implementarse en los  P.E.S Y P.E.M</t>
  </si>
  <si>
    <t>410404-0-3131-C33023-060049-06004901-23202020090401</t>
  </si>
  <si>
    <t>06004902-</t>
  </si>
  <si>
    <t>Actividades entorno a la apropiación del patrimonio. Cátedra de Patrimonio</t>
  </si>
  <si>
    <t>410404-0-3131-C33023-060049-06004902-23202020090402</t>
  </si>
  <si>
    <t>06004903-</t>
  </si>
  <si>
    <t xml:space="preserve">Mantenimientos y adecuaciones al Palacio de la Cultura </t>
  </si>
  <si>
    <t>410404-0-3131-C33023-060049-06004903-23202020090403</t>
  </si>
  <si>
    <t>06004904-</t>
  </si>
  <si>
    <t>realización de inventarios de Patrimonio cultural</t>
  </si>
  <si>
    <t>410404-0-3131-C33023-060049-06004904-23202020090404</t>
  </si>
  <si>
    <t>410405-</t>
  </si>
  <si>
    <t>C33014-</t>
  </si>
  <si>
    <t>060047-</t>
  </si>
  <si>
    <t>06004701-</t>
  </si>
  <si>
    <t>UNIDOS POR LA INFRAESTRUCTURA Y LA DOTACION CULTURAL</t>
  </si>
  <si>
    <t>FortInfraestrCultural  </t>
  </si>
  <si>
    <t>Mejoramiento "adecuación y/o mantenimiento de las infraestructuras culturales"  Antioquia(900053)</t>
  </si>
  <si>
    <t>Adecuación de infraestructura</t>
  </si>
  <si>
    <t>410405-0-1010-C33014-060047-06004701-232010100102010101</t>
  </si>
  <si>
    <t>06004702-</t>
  </si>
  <si>
    <t>Mantenimiento de Infraestructura</t>
  </si>
  <si>
    <t>410405-0-1010-C33014-060047-06004702-232010100102010102</t>
  </si>
  <si>
    <t>060053-</t>
  </si>
  <si>
    <t>06005301-</t>
  </si>
  <si>
    <t>Integración tecnológica para el aseguramiento de la calidad  Antioquia(900066)</t>
  </si>
  <si>
    <t>Fortalecer la plataforma tecnológica</t>
  </si>
  <si>
    <t>410405-0-1010-C33014-060053-06005301-2320101005020301020101</t>
  </si>
  <si>
    <t>C33017-</t>
  </si>
  <si>
    <t>060052-</t>
  </si>
  <si>
    <t>06005201-</t>
  </si>
  <si>
    <t>FmtoGestiónCulturalTerrit</t>
  </si>
  <si>
    <t>Dotación cultural y artística  Antioquia"(900064)</t>
  </si>
  <si>
    <t>Diagnóstico, adquisición y entrega de instrumentos musicales</t>
  </si>
  <si>
    <t>410405-0-1010-C33017-060052-06005201-232010100401020101</t>
  </si>
  <si>
    <t>06005202-</t>
  </si>
  <si>
    <t>Diagnóstico, adquisición, clasificación y entrega de material bibliográfico y equipamientos de bibliotecas</t>
  </si>
  <si>
    <t>410405-0-1010-C33017-060052-06005202-232010100502040101</t>
  </si>
  <si>
    <t>0-1011-</t>
  </si>
  <si>
    <t>REC. DE CAPITAL FONDOS COMUNES</t>
  </si>
  <si>
    <t>410405-0-1011-C33014-060053-06005301-2320101005020301020201</t>
  </si>
  <si>
    <t>410406-</t>
  </si>
  <si>
    <t>060050-</t>
  </si>
  <si>
    <t>06005002-</t>
  </si>
  <si>
    <t>UNIDOS POR LA PARTICIPACION Y LA CIUDADANIA CULTURAL</t>
  </si>
  <si>
    <t>Difusión "movilización y participación ciudadana"  Antioquia(900058)</t>
  </si>
  <si>
    <t>Actualización participativa del plan departamental de cultura 2021-2030</t>
  </si>
  <si>
    <t>410406-0-1010-C33017-060050-06005002-23202020090502</t>
  </si>
  <si>
    <t>06005003-</t>
  </si>
  <si>
    <t>Realización de las sesiones de los consejos de cultura en el ambito departamental</t>
  </si>
  <si>
    <t>410406-0-1010-C33017-060050-06005003-23202020090503</t>
  </si>
  <si>
    <t>06005004-</t>
  </si>
  <si>
    <t>Fortalecimiento de los espacios de participación del nivel departamental</t>
  </si>
  <si>
    <t>410406-0-1010-C33017-060050-06005004-23202020090504</t>
  </si>
  <si>
    <t>06005005-</t>
  </si>
  <si>
    <t>Implementación de las asesorías y de las convocatorias públicas para apoyar a las administraciones Municipales en la elaboración de los planes Municipales de cultura</t>
  </si>
  <si>
    <t>410406-0-1010-C33017-060050-06005005-23202020090505</t>
  </si>
  <si>
    <t>06005006-</t>
  </si>
  <si>
    <t>Movilización de espacios culturales para la planificación cultural del departamento</t>
  </si>
  <si>
    <t>410406-0-1010-C33017-060050-06005006-23202020090506</t>
  </si>
  <si>
    <t>06005007-</t>
  </si>
  <si>
    <t>Desarrollar procesos de planeación participativa del plan departamental de lectura, escritura y bibbliotecas</t>
  </si>
  <si>
    <t>410406-0-1010-C33017-060050-06005007-23202020090507</t>
  </si>
  <si>
    <t>06005001-</t>
  </si>
  <si>
    <t>Desarrollar procesos de planeación participativa integral a nivel departamental</t>
  </si>
  <si>
    <t>410406-0-1011-C33017-060050-06005001-23202020090501</t>
  </si>
  <si>
    <t>410406-0-1011-C33017-060050-06005003-23202020090508</t>
  </si>
  <si>
    <t>999999-</t>
  </si>
  <si>
    <t>99999999-</t>
  </si>
  <si>
    <t>CODIGO GENERICO FUNCIONAMIENTO</t>
  </si>
  <si>
    <t>Genérico Funcionamiento</t>
  </si>
  <si>
    <t>Sueldo básico</t>
  </si>
  <si>
    <t>999999-0-1010-999999-999999-99999999-211010100101</t>
  </si>
  <si>
    <t>Horas extras, dominicales, festivos y recargos</t>
  </si>
  <si>
    <t>999999-0-1010-999999-999999-99999999-211010100102</t>
  </si>
  <si>
    <t>Auxilio de transporte</t>
  </si>
  <si>
    <t>999999-0-1010-999999-999999-99999999-211010100105</t>
  </si>
  <si>
    <t>Prima de servicio</t>
  </si>
  <si>
    <t>999999-0-1010-999999-999999-99999999-211010100106</t>
  </si>
  <si>
    <t>Bonificación por servicios prestados</t>
  </si>
  <si>
    <t>999999-0-1010-999999-999999-99999999-211010100107</t>
  </si>
  <si>
    <t>Prima de navidad</t>
  </si>
  <si>
    <t>999999-0-1010-999999-999999-99999999-21101010010801</t>
  </si>
  <si>
    <t>Prima de vacaciones</t>
  </si>
  <si>
    <t>999999-0-1010-999999-999999-99999999-21101010010802</t>
  </si>
  <si>
    <t>Aportes a la seguridad social en pensiones</t>
  </si>
  <si>
    <t>999999-0-1010-999999-999999-99999999-2110102001</t>
  </si>
  <si>
    <t>Aportes a la seguridad social en salud</t>
  </si>
  <si>
    <t>999999-0-1010-999999-999999-99999999-2110102002</t>
  </si>
  <si>
    <t xml:space="preserve">Aportes de cesantías </t>
  </si>
  <si>
    <t>999999-0-1010-999999-999999-99999999-2110102003</t>
  </si>
  <si>
    <t>Aportes a cajas de compensación familiar</t>
  </si>
  <si>
    <t>999999-0-1010-999999-999999-99999999-2110102004</t>
  </si>
  <si>
    <t>Aportes generales al sistema de riesgos laborales</t>
  </si>
  <si>
    <t>999999-0-1010-999999-999999-99999999-2110102005</t>
  </si>
  <si>
    <t>Aportes al ICBF</t>
  </si>
  <si>
    <t>999999-0-1010-999999-999999-99999999-2110102006</t>
  </si>
  <si>
    <t>Aportes al SENA</t>
  </si>
  <si>
    <t>999999-0-1010-999999-999999-99999999-2110102007</t>
  </si>
  <si>
    <t>Vacaciones</t>
  </si>
  <si>
    <t>999999-0-1010-999999-999999-99999999-211010300101</t>
  </si>
  <si>
    <t>Indemnización por vacaciones</t>
  </si>
  <si>
    <t>999999-0-1010-999999-999999-99999999-211010300102</t>
  </si>
  <si>
    <t>Bonificación especial de recreación</t>
  </si>
  <si>
    <t>999999-0-1010-999999-999999-99999999-211010300103</t>
  </si>
  <si>
    <t>Otros bienes transportables (excepto productos metálicos, maquinaria y equipo)</t>
  </si>
  <si>
    <t>999999-0-1010-999999-999999-99999999-2120201003</t>
  </si>
  <si>
    <t>viaticos y gastos de viaje &lt;180dias</t>
  </si>
  <si>
    <t>999999-0-1010-999999-999999-99999999-212020200601</t>
  </si>
  <si>
    <t>seguros</t>
  </si>
  <si>
    <t>999999-0-1010-999999-999999-99999999-212020200701</t>
  </si>
  <si>
    <t>otros gastos financieros</t>
  </si>
  <si>
    <t>999999-0-1010-999999-999999-99999999-212020200702</t>
  </si>
  <si>
    <t>gastos de bienestar social y salud ocupacional</t>
  </si>
  <si>
    <t>999999-0-1010-999999-999999-99999999-212020200801</t>
  </si>
  <si>
    <t>servicios personales indirectos</t>
  </si>
  <si>
    <t>999999-0-1010-999999-999999-99999999-212020200802</t>
  </si>
  <si>
    <t>capacitacion de personal</t>
  </si>
  <si>
    <t>999999-0-1010-999999-999999-99999999-212020200803</t>
  </si>
  <si>
    <t>impresos y publicaciones</t>
  </si>
  <si>
    <t>999999-0-1010-999999-999999-99999999-212020200804</t>
  </si>
  <si>
    <t>energia</t>
  </si>
  <si>
    <t>999999-0-1010-999999-999999-99999999-212020200805</t>
  </si>
  <si>
    <t>telecomunicaciones</t>
  </si>
  <si>
    <t>999999-0-1010-999999-999999-99999999-212020200806</t>
  </si>
  <si>
    <t>Acueducto, alcantarillado y aseo</t>
  </si>
  <si>
    <t>999999-0-1010-999999-999999-99999999-212020200807</t>
  </si>
  <si>
    <t>Mantenimiento y Reparaciones y otros gastos por adq de servicios</t>
  </si>
  <si>
    <t>999999-0-1010-999999-999999-99999999-212020200808</t>
  </si>
  <si>
    <t>Sentencias</t>
  </si>
  <si>
    <t>999999-0-1010-999999-999999-99999999-2131301001</t>
  </si>
  <si>
    <t>Conciliaciones</t>
  </si>
  <si>
    <t>999999-0-1010-999999-999999-99999999-2131301002</t>
  </si>
  <si>
    <t>Laudos arbitrales</t>
  </si>
  <si>
    <t>999999-0-1010-999999-999999-99999999-2131301003</t>
  </si>
  <si>
    <t>Cesantías definitivas</t>
  </si>
  <si>
    <t>999999-0-1010-999999-999999-99999999-2170101</t>
  </si>
  <si>
    <t>Cesantías parciales</t>
  </si>
  <si>
    <t>999999-0-1010-999999-999999-99999999-2170102</t>
  </si>
  <si>
    <t>Cuota de fiscalización y auditaje</t>
  </si>
  <si>
    <t>999999-0-1010-999999-999999-99999999-2180401</t>
  </si>
  <si>
    <t>Multas Superintendencias</t>
  </si>
  <si>
    <t>999999-0-1010-999999-999999-99999999-2180501001</t>
  </si>
  <si>
    <t>Intereses de mora</t>
  </si>
  <si>
    <t>999999-0-1010-999999-999999-99999999-2180502</t>
  </si>
  <si>
    <t>F99999-</t>
  </si>
  <si>
    <t>F9999999-</t>
  </si>
  <si>
    <t>VIgencias Futuras Funcionamiento</t>
  </si>
  <si>
    <t>Vigencias Futuras Funcionamiento</t>
  </si>
  <si>
    <t>Vigencias Futuras Funcionamiento actividad</t>
  </si>
  <si>
    <t>servicios personales indirectos - VF</t>
  </si>
  <si>
    <t>999999-0-1010-F99999-F99999-F9999999-212020200809</t>
  </si>
  <si>
    <t>Adquisición de bienes y servicios</t>
  </si>
  <si>
    <t>Adquisiciones diferentes de activos</t>
  </si>
  <si>
    <t xml:space="preserve">nombre ordinal ccpet </t>
  </si>
  <si>
    <t>Gastos</t>
  </si>
  <si>
    <t>Funcionamiento</t>
  </si>
  <si>
    <t>Gastos de personal</t>
  </si>
  <si>
    <t>Planta de personal permanente</t>
  </si>
  <si>
    <t>Factores constitutivos de salario</t>
  </si>
  <si>
    <t>Factores salariales comunes</t>
  </si>
  <si>
    <t>Prestaciones sociales</t>
  </si>
  <si>
    <t>Contribuciones inherentes a la nómina</t>
  </si>
  <si>
    <t>Remuneraciones no constitutivas de factor salarial</t>
  </si>
  <si>
    <t>Adquisición de servicios</t>
  </si>
  <si>
    <t>Servicios de alojamiento; servicios de suministro de comidas y bebidas; servicios de transporte; y servicios de distribución de electricidad, gas y agua</t>
  </si>
  <si>
    <t>Servicios financieros y servicios conexos, servicios inmobiliarios y servicios de leasing</t>
  </si>
  <si>
    <t>Servicios prestados a las empresas y servicios de producción</t>
  </si>
  <si>
    <t>Transferencias corrientes</t>
  </si>
  <si>
    <t>Fallos nacionales</t>
  </si>
  <si>
    <t>Disminución de pasivos</t>
  </si>
  <si>
    <t>Cesantías</t>
  </si>
  <si>
    <t>Gastos por tributos, multas, sanciones e intereses de mora</t>
  </si>
  <si>
    <t>Contribuciones</t>
  </si>
  <si>
    <t>Multas, sanciones e intereses de mora</t>
  </si>
  <si>
    <t>Multas y sanciones</t>
  </si>
  <si>
    <t>Servicio de la deuda pública</t>
  </si>
  <si>
    <t>Inversión</t>
  </si>
  <si>
    <t>Adquisición de activos no financieros</t>
  </si>
  <si>
    <t xml:space="preserve">Activos Fijos </t>
  </si>
  <si>
    <t>Edificaciones y estructuras</t>
  </si>
  <si>
    <t>Edificaciones distintas a viviendas</t>
  </si>
  <si>
    <t>Monumentos públicos no residenciales</t>
  </si>
  <si>
    <t>Activos fijos no clasificados como maquinaria y equipo</t>
  </si>
  <si>
    <t>Muebles, instrumentos musicales, articulos de deporte y antiguedades</t>
  </si>
  <si>
    <t>Instrumentos musicales</t>
  </si>
  <si>
    <t>Otros activos fijos</t>
  </si>
  <si>
    <t>productos de la propiedad intelectual</t>
  </si>
  <si>
    <t>Programas de informática y bases de datos</t>
  </si>
  <si>
    <t>Programas de informática</t>
  </si>
  <si>
    <t>Gastos de desarrollo</t>
  </si>
  <si>
    <t>Originales de entretenimiento, literatura y arte</t>
  </si>
  <si>
    <t>Adquisicion de servicios</t>
  </si>
  <si>
    <t>Servicios para la comunidad, sociales y personales</t>
  </si>
  <si>
    <t>Valor Apropiación</t>
  </si>
  <si>
    <t>21</t>
  </si>
  <si>
    <t>211</t>
  </si>
  <si>
    <t>21101</t>
  </si>
  <si>
    <t>2110101</t>
  </si>
  <si>
    <t>2110101001</t>
  </si>
  <si>
    <t>211010100108</t>
  </si>
  <si>
    <t>2110102</t>
  </si>
  <si>
    <t>2110103</t>
  </si>
  <si>
    <t>2110103001</t>
  </si>
  <si>
    <t>212</t>
  </si>
  <si>
    <t>21202</t>
  </si>
  <si>
    <t>2120201</t>
  </si>
  <si>
    <t>2120202</t>
  </si>
  <si>
    <t>2120202006</t>
  </si>
  <si>
    <t>2120202007</t>
  </si>
  <si>
    <t>2120202008</t>
  </si>
  <si>
    <t>213</t>
  </si>
  <si>
    <t>21313</t>
  </si>
  <si>
    <t>2131301</t>
  </si>
  <si>
    <t>217</t>
  </si>
  <si>
    <t>21701</t>
  </si>
  <si>
    <t>218</t>
  </si>
  <si>
    <t>21804</t>
  </si>
  <si>
    <t>21805</t>
  </si>
  <si>
    <t>2180501</t>
  </si>
  <si>
    <t>22</t>
  </si>
  <si>
    <t>23</t>
  </si>
  <si>
    <t>232</t>
  </si>
  <si>
    <t>23201</t>
  </si>
  <si>
    <t>2320101</t>
  </si>
  <si>
    <t>2320101001</t>
  </si>
  <si>
    <t>232010100102</t>
  </si>
  <si>
    <t>23201010010201</t>
  </si>
  <si>
    <t>2320101004</t>
  </si>
  <si>
    <t>232010100401</t>
  </si>
  <si>
    <t>23201010040102</t>
  </si>
  <si>
    <t>2320101005</t>
  </si>
  <si>
    <t>232010100502</t>
  </si>
  <si>
    <t>23201010050203</t>
  </si>
  <si>
    <t>2320101005020301</t>
  </si>
  <si>
    <t>232010100502030102</t>
  </si>
  <si>
    <t>23201010050204</t>
  </si>
  <si>
    <t>23202</t>
  </si>
  <si>
    <t>2320202</t>
  </si>
  <si>
    <t>2320202009</t>
  </si>
  <si>
    <t>adicion</t>
  </si>
  <si>
    <t>cdp mes</t>
  </si>
  <si>
    <t>rpc mes</t>
  </si>
  <si>
    <t>op mes</t>
  </si>
  <si>
    <t>pago mes</t>
  </si>
  <si>
    <t>saldo cdp</t>
  </si>
  <si>
    <t>saldo rpc</t>
  </si>
  <si>
    <t>saldo op</t>
  </si>
  <si>
    <t>410405-0-1010-C33014-060047-2320101001020101</t>
  </si>
  <si>
    <t>410405-0-1010-C33017-060052-2320101004010201</t>
  </si>
  <si>
    <t>410405-0-1010-C33014-060053-23201010050203010201</t>
  </si>
  <si>
    <t>410405-0-1011-C33014-060053-23201010050203010202</t>
  </si>
  <si>
    <t>410405-0-1010-C33017-060052-2320101005020401</t>
  </si>
  <si>
    <t>410402-0-1010-C33011-060045-232020200901</t>
  </si>
  <si>
    <t>410401-0-1010-C33011-060046-232020200902</t>
  </si>
  <si>
    <t>410401-0-2708-C33011-060046-232020200902</t>
  </si>
  <si>
    <t>410401-0-1010-C33012-060048-232020200903</t>
  </si>
  <si>
    <t>410401-0-2708-C33012-060048-232020200903</t>
  </si>
  <si>
    <t>410404-0-3131-C33023-060049-232020200904</t>
  </si>
  <si>
    <t>410404-0-1010-C33023-060049-232020200904</t>
  </si>
  <si>
    <t>410406-0-1010-C33017-060050-232020200905</t>
  </si>
  <si>
    <t>410406-0-1011-C33017-060050-232020200905</t>
  </si>
  <si>
    <t>410403-0-1010-F33012-060051-232020200906</t>
  </si>
  <si>
    <t>410403-0-1010-C33012-060051-232020200906</t>
  </si>
  <si>
    <t>INVERSION</t>
  </si>
  <si>
    <t>Cultura</t>
  </si>
  <si>
    <t>Promoción y acceso efectivo a procesos culturales y artisticos</t>
  </si>
  <si>
    <t>Prácticas artisticas y culturales</t>
  </si>
  <si>
    <t>C33011</t>
  </si>
  <si>
    <t>Estimulos a los procesos, proyectos y actividades culturales</t>
  </si>
  <si>
    <t>Fortalecimiento de la infraestructura cultural</t>
  </si>
  <si>
    <t>Fomento a la gestión cultural territorial</t>
  </si>
  <si>
    <t>Gestión, protección y salvaguardia del patrimonio cultural colombiano</t>
  </si>
  <si>
    <t>C3302</t>
  </si>
  <si>
    <t>C33023</t>
  </si>
  <si>
    <t>Fomento y divulgación del patrimonio cultural</t>
  </si>
  <si>
    <t>C33</t>
  </si>
  <si>
    <t>C3301</t>
  </si>
  <si>
    <t>C33012</t>
  </si>
  <si>
    <t>C33014</t>
  </si>
  <si>
    <t>C33017</t>
  </si>
  <si>
    <t>211010100101</t>
  </si>
  <si>
    <t>211010100102</t>
  </si>
  <si>
    <t>211010100105</t>
  </si>
  <si>
    <t>211010100106</t>
  </si>
  <si>
    <t>211010100107</t>
  </si>
  <si>
    <t>21101010010801</t>
  </si>
  <si>
    <t>21101010010802</t>
  </si>
  <si>
    <t>2110102001</t>
  </si>
  <si>
    <t>2110102002</t>
  </si>
  <si>
    <t>2110102003</t>
  </si>
  <si>
    <t>2110102004</t>
  </si>
  <si>
    <t>2110102005</t>
  </si>
  <si>
    <t>2110102006</t>
  </si>
  <si>
    <t>2110102007</t>
  </si>
  <si>
    <t>211010300101</t>
  </si>
  <si>
    <t>211010300102</t>
  </si>
  <si>
    <t>211010300103</t>
  </si>
  <si>
    <t>2.3</t>
  </si>
  <si>
    <t>RUBRO/parámetro</t>
  </si>
  <si>
    <t>Contribuciones/tasas y derechos administrativos</t>
  </si>
  <si>
    <t>060045</t>
  </si>
  <si>
    <t>060046</t>
  </si>
  <si>
    <t>060048</t>
  </si>
  <si>
    <t>060051</t>
  </si>
  <si>
    <t>060047</t>
  </si>
  <si>
    <t>060053</t>
  </si>
  <si>
    <t>060050</t>
  </si>
  <si>
    <t>060052</t>
  </si>
  <si>
    <t>060049</t>
  </si>
  <si>
    <t>Ordenanza 12 de 2015</t>
  </si>
  <si>
    <t>Recursos de capital propios</t>
  </si>
  <si>
    <t>INC - Iva cedido telefonia celular</t>
  </si>
  <si>
    <t>RUBRO/parametro</t>
  </si>
  <si>
    <t>F99999</t>
  </si>
  <si>
    <t>TOTAL RESERVA PRESUPUESTAL</t>
  </si>
  <si>
    <t>EJECUCION PRESUPUESTAL DE GASTOS</t>
  </si>
  <si>
    <t>Concepto</t>
  </si>
  <si>
    <t>% Variación</t>
  </si>
  <si>
    <t>OBSERVACIONES</t>
  </si>
  <si>
    <t xml:space="preserve">  Presupuesto Inicial</t>
  </si>
  <si>
    <t xml:space="preserve">  Presupuesto Actual</t>
  </si>
  <si>
    <t xml:space="preserve">  Ejecución</t>
  </si>
  <si>
    <t>% Ejecución</t>
  </si>
  <si>
    <t xml:space="preserve"> Presupuesto Inicial</t>
  </si>
  <si>
    <t xml:space="preserve"> Presupuesto Actual</t>
  </si>
  <si>
    <t>TOTAL GENERAL (FUNCIONAMIENTO + DEUDA + INVERSIÓN)</t>
  </si>
  <si>
    <t>TOTAL FUNCIONAMIENTO</t>
  </si>
  <si>
    <t>Rubro/parámetro</t>
  </si>
  <si>
    <t xml:space="preserve"> </t>
  </si>
  <si>
    <t>DEUDA</t>
  </si>
  <si>
    <t>EXTERNA</t>
  </si>
  <si>
    <t>INTERNA</t>
  </si>
  <si>
    <t>TOTAL DEUDA</t>
  </si>
  <si>
    <t>Otras transferencias corrientes - cuota de fiscalización</t>
  </si>
  <si>
    <t>Gastos de bienestar social y salud ocupacional</t>
  </si>
  <si>
    <t>Capacitación al personal administrativo</t>
  </si>
  <si>
    <t>Otros gastos adquisición de servicios</t>
  </si>
  <si>
    <t>Otros gastos financieros</t>
  </si>
  <si>
    <t>Mantenimiento y reparaciones</t>
  </si>
  <si>
    <t>Viáticos y gastos de viaje</t>
  </si>
  <si>
    <t>Gastos vinculación de personal artículo 30 ley 909</t>
  </si>
  <si>
    <t>Energía</t>
  </si>
  <si>
    <t>Otros seguros</t>
  </si>
  <si>
    <t>Impresos y publicaciones</t>
  </si>
  <si>
    <t>Otros gastos adquisición de bienes</t>
  </si>
  <si>
    <t>Compra de Equipos</t>
  </si>
  <si>
    <t>Aporte de cesantías al sector publico</t>
  </si>
  <si>
    <t>Aportes parafiscales - Cajas de Compensación Familiar</t>
  </si>
  <si>
    <t>Aportes parafiscales - ICBF</t>
  </si>
  <si>
    <t>Aportes parafiscales - SENA</t>
  </si>
  <si>
    <t>Aporte de cesantías al sector privado</t>
  </si>
  <si>
    <t>Aportes para pensión al sector privado</t>
  </si>
  <si>
    <t>Aportes para salud al sector privado</t>
  </si>
  <si>
    <t>Aportes ARP al sector público</t>
  </si>
  <si>
    <t>Aportes para pensión al sector público</t>
  </si>
  <si>
    <t>Servicios Técnicos</t>
  </si>
  <si>
    <t>Indemnización de personal</t>
  </si>
  <si>
    <t>Pagos directos de cesantías parciales y/o definitivos</t>
  </si>
  <si>
    <t>Sueldos de personal de nómina</t>
  </si>
  <si>
    <t>241011A05100600000</t>
  </si>
  <si>
    <t>241011A17170600350</t>
  </si>
  <si>
    <t>Fortalecimiento de circulación artística y cultural para la paz</t>
  </si>
  <si>
    <t>Mantenimiento, adecuacion y dotacion de equipamientos</t>
  </si>
  <si>
    <t>Desarrollo de Convoctorias</t>
  </si>
  <si>
    <t>Implementacion del Plan de Lectura, Escritura y Biblioteca</t>
  </si>
  <si>
    <t>Fortaleciomiento de los sistemas de Información institucional</t>
  </si>
  <si>
    <t>232020200906</t>
  </si>
  <si>
    <t>Diagnóstico, gestión y salvaguardia del patrimonio cultural en Antioquia</t>
  </si>
  <si>
    <t>Formación artística y cultural para la equidad y la movilidad social en Antioquia</t>
  </si>
  <si>
    <t>Fortalecimiento circulación artística y cultural para la paz en antioquia</t>
  </si>
  <si>
    <t>Implementación de la agenda institucional, local y regional para el posconflicto en Antioquia</t>
  </si>
  <si>
    <t>Implementación procesos de gestión y planificación cultural para el fortalecimiento del Sistema Departamental de Cultura</t>
  </si>
  <si>
    <t>Implementación del plan de lectura escritura y bibliotecas en Antioquia</t>
  </si>
  <si>
    <t>Mantenimiento, adecuación y dotación equipamientos culturales</t>
  </si>
  <si>
    <t>410401-0-1010-C33012-060048-06004806-23202020090306</t>
  </si>
  <si>
    <t>Fortalecimiento del sistema integrado de gestión del Instituto de Cultura y Patrimonio de Antioquia</t>
  </si>
  <si>
    <t>06004905-</t>
  </si>
  <si>
    <t>Intervenciones de bienes de interés cultural</t>
  </si>
  <si>
    <t>Intervenciones de bienes de interes cultural</t>
  </si>
  <si>
    <t>410404-0-3131-C33023-060049-06004905-23202020090405</t>
  </si>
  <si>
    <t>consumo bajo en 2020 por aislamiento</t>
  </si>
  <si>
    <t>baja ejecucion por contingencia</t>
  </si>
  <si>
    <t>410401-4-1011-C33011-060046-06004601-23202020090201</t>
  </si>
  <si>
    <t>410401-4-1011-C33011-060046-06004604-23202020090204</t>
  </si>
  <si>
    <t>410401-4-1011-C33011-060046-06004605-23202020090205</t>
  </si>
  <si>
    <t>410401-4-1011-C33011-060046-06004608-23202020090208</t>
  </si>
  <si>
    <t>410401-4-1011-C33011-060046-06004609-23202020090209</t>
  </si>
  <si>
    <t>410401-4-1011-C33011-060046-06004610-23202020090210</t>
  </si>
  <si>
    <t>410401-4-1011-C33012-060048-06004801-23202020090301</t>
  </si>
  <si>
    <t>410401-4-1011-C33012-060048-06004802-23202020090302</t>
  </si>
  <si>
    <t>410401-4-1011-C33012-060048-06004806-23202020090306</t>
  </si>
  <si>
    <t>410401-4-2708-C33012-060048-06004803-23202020090303</t>
  </si>
  <si>
    <t>410403-4-1011-C33012-060051-06005101-23202020090601</t>
  </si>
  <si>
    <t>Programa de profesionalización</t>
  </si>
  <si>
    <t>410403-4-1011-C33012-060051-06005102-23202020090602</t>
  </si>
  <si>
    <t>410404-4-1011-C33023-060049-06004902-23202020090402</t>
  </si>
  <si>
    <t>410405-4-1011-C33014-060047-06004701-232010100102010101</t>
  </si>
  <si>
    <t>410405-4-1011-C33014-060053-06005301-2320101005020301020101</t>
  </si>
  <si>
    <t>410405-4-1011-C33017-060052-06005202-232010100502040101</t>
  </si>
  <si>
    <t>410401-0-2708-C33012-060048-06004803-23202020090303</t>
  </si>
  <si>
    <t>4-1011-</t>
  </si>
  <si>
    <t>REC. BALANCE - LIBRE DESTINACION</t>
  </si>
  <si>
    <t>4-2708-</t>
  </si>
  <si>
    <t>REC. BALANCE - ORDENANZA 12 DE 2015</t>
  </si>
  <si>
    <t>Programa de profesionalización Vigencia</t>
  </si>
  <si>
    <t>410403-0-1010-C33012-060051-06005101-23202020090601</t>
  </si>
  <si>
    <t>410404-0-1010-C33023-060049-06004903-23202020090405</t>
  </si>
  <si>
    <t>410404-0-1010-C33023-060049-06004905-23202020090405</t>
  </si>
  <si>
    <t>06005203-</t>
  </si>
  <si>
    <t>Dotacion de muebles y utilería - procesos de fortalecimiento cultural</t>
  </si>
  <si>
    <t>410405-0-1010-C33017-060052-06005203-232010100401010401</t>
  </si>
  <si>
    <t>06005204-</t>
  </si>
  <si>
    <t>Dotación de vestuario - procesos de fortalecimiento cultural</t>
  </si>
  <si>
    <t>Dotacion de vestuario - procesos de fortalecimiento cultural</t>
  </si>
  <si>
    <t>410405-0-1010-C33017-060052-06005204-232020100201</t>
  </si>
  <si>
    <t>06005205-</t>
  </si>
  <si>
    <t>Suministro equipos tecnológicos, iluminación e insumos técnicos - procesos de fortalecimiento cultural</t>
  </si>
  <si>
    <t>Suminitro equipos tecnologicos, iluminacion y e insumos tecnicos - procesos de fortalecimiento cultural</t>
  </si>
  <si>
    <t>410405-0-1010-C33017-060052-06005205-2320101003050301</t>
  </si>
  <si>
    <t>06005206-</t>
  </si>
  <si>
    <t>Materiales y suministros - procesos de fortalecimiento cultural</t>
  </si>
  <si>
    <t>410405-0-1010-C33017-060052-06005206-232020100301</t>
  </si>
  <si>
    <t>adiciones</t>
  </si>
  <si>
    <t>23201010040101</t>
  </si>
  <si>
    <t>Muebles</t>
  </si>
  <si>
    <t>2320101004010104</t>
  </si>
  <si>
    <t>Otros muebles N.C.P.</t>
  </si>
  <si>
    <t>Productos alimenticios, bebidas y tabaco; textiles, prendas de vestir y productos de cuero</t>
  </si>
  <si>
    <t>232010100305</t>
  </si>
  <si>
    <t>23201010030503</t>
  </si>
  <si>
    <t>Maquinaria y equipo</t>
  </si>
  <si>
    <t>Equipo y aparatos de radio, televisión y comunicaciones</t>
  </si>
  <si>
    <t>Radiorreceptores y receptores de televisión; aparatos para la grabación y reproducción de sonido y video; micrófonos, altavoces, amplificadores, etc.</t>
  </si>
  <si>
    <t>410401-4-1011-C33011-060046-232020200902</t>
  </si>
  <si>
    <t>410405-4-1011-C33014-060047-2320101001020101</t>
  </si>
  <si>
    <t>410405-4-1011-C33014-060053-23201010050203010201</t>
  </si>
  <si>
    <t>410405-4-1011-C33017-060052-2320101005020401</t>
  </si>
  <si>
    <t>410401-4-1011-C33012-060048-232020200903</t>
  </si>
  <si>
    <t>410404-4-1011-C33023-060049-232020200904</t>
  </si>
  <si>
    <t>410403-4-1011-C33012-060051-232020200906</t>
  </si>
  <si>
    <t>410401-4-2708-C33012-060048-232020200903</t>
  </si>
  <si>
    <t>410405-0-1010-C33017-060052-2320101003050301</t>
  </si>
  <si>
    <t>410405-0-1010-C33017-060052-232010100401010401</t>
  </si>
  <si>
    <t>410405-0-1010-C33017-060052-232020100201</t>
  </si>
  <si>
    <t>410405-0-1010-C33017-060052-232020100301</t>
  </si>
  <si>
    <t>Diferencia por parametrización de "otros gastos generales" rubro anterior</t>
  </si>
  <si>
    <t>Rec. Balance</t>
  </si>
  <si>
    <t>060051-0-1010</t>
  </si>
  <si>
    <t>060051-4-1011</t>
  </si>
  <si>
    <t>060048-0-1010</t>
  </si>
  <si>
    <t>060048-0-2708</t>
  </si>
  <si>
    <t>060048-4-2708</t>
  </si>
  <si>
    <t>060048-4-1011</t>
  </si>
  <si>
    <t>060045-0-1010</t>
  </si>
  <si>
    <t>060046-0-1010</t>
  </si>
  <si>
    <t>060046-0-2708</t>
  </si>
  <si>
    <t>060046-4-1011</t>
  </si>
  <si>
    <t>060047-0-1010</t>
  </si>
  <si>
    <t>060047-4-1011</t>
  </si>
  <si>
    <t>060053-0-1010</t>
  </si>
  <si>
    <t>060053-0-1011</t>
  </si>
  <si>
    <t>060053-4-1011</t>
  </si>
  <si>
    <t>060052-0-1010</t>
  </si>
  <si>
    <t>060052-4-1011</t>
  </si>
  <si>
    <t>060050-0-1010</t>
  </si>
  <si>
    <t>060050-0-1011</t>
  </si>
  <si>
    <t>060049-0-3131</t>
  </si>
  <si>
    <t>060049-0-1010</t>
  </si>
  <si>
    <t>060049-4-1011</t>
  </si>
  <si>
    <t>Rec. Balance Ord 12</t>
  </si>
  <si>
    <t>0-4879-</t>
  </si>
  <si>
    <t>CONT_12046/2021INCLUSION SOCIAL-ICPA</t>
  </si>
  <si>
    <t>410401-0-4879-C33012-060048-06004803-23202020090303</t>
  </si>
  <si>
    <t>0-4880-</t>
  </si>
  <si>
    <t>CONT_11988/2021 AMBIENTE Y SOSTEN-ICPA</t>
  </si>
  <si>
    <t>410401-0-4880-C33012-060048-06004803-23202020090303</t>
  </si>
  <si>
    <t>410405-4-1011-C33014-060047-06004702-232010100102010102</t>
  </si>
  <si>
    <t>410405-4-1011-C33017-060052-06005201-232010100401020101</t>
  </si>
  <si>
    <t>410405-4-1011-C33017-060052-06005203-232010100401010401</t>
  </si>
  <si>
    <t>410405-4-1011-C33017-060052-06005205-2320101003050301</t>
  </si>
  <si>
    <t>En 2020 la contratacion de personal de apoyo ha sido menor en comparacion con el mismo periodo 2019 debido a la contingencia</t>
  </si>
  <si>
    <t>consumo bajo en 2020 por aislamiento.</t>
  </si>
  <si>
    <t>410405-4-1011-C33017-060052-232010100401010401</t>
  </si>
  <si>
    <t>410405-4-1011-C33017-060052-2320101003050301</t>
  </si>
  <si>
    <t>410405-4-1011-C33017-060052-2320101004010201</t>
  </si>
  <si>
    <t>410401-0-4879-C33012-060048-232020200903</t>
  </si>
  <si>
    <t>410401-0-4880-C33012-060048-232020200903</t>
  </si>
  <si>
    <t>060048-0-4879</t>
  </si>
  <si>
    <t>060048-0-4880</t>
  </si>
  <si>
    <t>Otras unidades de gobierno - transferencias para gastos de inversión</t>
  </si>
  <si>
    <t>en 2019 no se contaba con el subdirector de patrimonio. En 2020 este cargo se encuentra ocupado</t>
  </si>
  <si>
    <t>menor ejecucion por contingencia</t>
  </si>
  <si>
    <t>el valor de la tasa de fiscalizacion subió de 18M en 2019 a 27M en 2020</t>
  </si>
  <si>
    <t>410401-0-2708-C33012-060048-06004801-23202020090301</t>
  </si>
  <si>
    <t>410401-4-2708-C33012-060048-06004801-23202020090301</t>
  </si>
  <si>
    <t>410405-4-1011-C33017-060052-06005204-232020100201</t>
  </si>
  <si>
    <t>410405-4-1011-C33017-060052-06005206-232020100301</t>
  </si>
  <si>
    <t xml:space="preserve">Debido al cambio en las directrices y metodologia de adjudicacion de recursos por parte del Ministerio de Cultura y ejecucion de los mismos </t>
  </si>
  <si>
    <t>Tipo de Presupuesto</t>
  </si>
  <si>
    <t>codigo</t>
  </si>
  <si>
    <t>Proyecto</t>
  </si>
  <si>
    <t>Nombre</t>
  </si>
  <si>
    <t>Apropiacion definitiva</t>
  </si>
  <si>
    <t>Compromisos</t>
  </si>
  <si>
    <t>Obligaciones</t>
  </si>
  <si>
    <t>Pagos</t>
  </si>
  <si>
    <t>% de ejecución</t>
  </si>
  <si>
    <t>2.1.2</t>
  </si>
  <si>
    <t>2.1.2.02</t>
  </si>
  <si>
    <t>2.1.3</t>
  </si>
  <si>
    <t>2.1.7</t>
  </si>
  <si>
    <t>2.1.8</t>
  </si>
  <si>
    <t>Deuda</t>
  </si>
  <si>
    <t>410401-0-1010-C33011-060046-06004608-23202020090208</t>
  </si>
  <si>
    <t>410404-4-1011-C33023-060049-06004901-23202020090401</t>
  </si>
  <si>
    <t>410404-4-1011-C33023-060049-06004904-23202020090404</t>
  </si>
  <si>
    <t>410404-4-1011-C33023-060049-06004905-23202020090405</t>
  </si>
  <si>
    <t>410406-0-1010-C33017-060050-06005001-23202020090501</t>
  </si>
  <si>
    <t>410405-4-1011-C33017-060052-232020100201</t>
  </si>
  <si>
    <t>410405-4-1011-C33017-060052-232020100301</t>
  </si>
  <si>
    <t>en 2019 el programa de seguros estaba vigente hasta mayo de 2020 y  solo se realizó inclusiones y exclusiones de bienes dentro de la cobertura del programa; mientras que en 2020 se inicia el nuevo programa de cobertura de seguros de septiembre 2020 hasta 05 de septiembre de 2021</t>
  </si>
  <si>
    <t>la medida de confnamiento impactó de manera negativa la ejecucion de los proyectos, ya que la mayoria de las actividades culturales son presenciales y suponen trabajos grupales o presentaciones en público</t>
  </si>
  <si>
    <t>en 2021 se incrementan las salidas a municipios que significa servicio en horas extras</t>
  </si>
  <si>
    <t>En 2021 Vacaciones hasta de dos periodos del personal que tenia represado el derecho</t>
  </si>
  <si>
    <t>no ejecutado en 2020</t>
  </si>
  <si>
    <t xml:space="preserve">por apertura y fin de confinamiento se reactivan  las actividadesculturales </t>
  </si>
  <si>
    <t>se observa mayor ejecucion de los recursos, de manera significativa, todo esto gracias a la apertura y fin del confinamiento que ha permitido reactivar las actividades en el territorio</t>
  </si>
  <si>
    <t>por apertura y fin de confinamiento se reactivan las actividades culturales, lo cual se refleja en una mayor ejecución de los recursos</t>
  </si>
  <si>
    <t>0-4885-</t>
  </si>
  <si>
    <t>CONT_160_21_IDEA-ICPA</t>
  </si>
  <si>
    <t>410402-0-4885-C33011-060045-06004503-23202020090103</t>
  </si>
  <si>
    <t>060045-0-4885</t>
  </si>
  <si>
    <t>410402-0-4885-C33011-060045-23202020090103</t>
  </si>
  <si>
    <t>conv_160 IDEA</t>
  </si>
  <si>
    <t>el desplazamiento del personal ha sido minimo en la vigencia 2020</t>
  </si>
  <si>
    <t>actividades de bienestar social se vieron afectadas por la contingencia</t>
  </si>
  <si>
    <t>se ejecutaron $4.256 millones en Convocatorias publicas</t>
  </si>
  <si>
    <t>se debe tener en cuenta que en la vigencia 2019 se iniciaron los procesos contractuales de inversion  en el mes de marzo. Para la vigencia 2020 se tuvieron dos situaciones que impactaron de forma negativa la ejecución:  la situacion de confinamiento decretada por el Gobierno Nacional y el cambio de administracion lo cual conlleva nuevo PDD y todo el proceso de armonización presupuestal</t>
  </si>
  <si>
    <t>se encuentran en proceso precontractual algunas dotaciones que se verán reflejadas en diciembre</t>
  </si>
  <si>
    <t>COMPARATIVO AL MES DE DICIEMBRE 2019 - 2020</t>
  </si>
  <si>
    <t>Se liquidó personal por retiro definitivo del cargo</t>
  </si>
  <si>
    <t>bajo consumo por confinamiento y aislamiento slectivo en 2020</t>
  </si>
  <si>
    <t>contratacion de dos desarrolladores para actualizacion del SICPA</t>
  </si>
  <si>
    <t>COMPARATIVO AL MES DE DICIEMBRE 2020 - 2021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</si>
</sst>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quot;$&quot;\ #,##0"/>
    <numFmt numFmtId="166" formatCode="_(&quot;$&quot;\ * #,##0_);_(&quot;$&quot;\ * \(#,##0\);_(&quot;$&quot;\ * &quot;-&quot;??_);_(@_)"/>
    <numFmt numFmtId="167" formatCode="0.0%"/>
    <numFmt numFmtId="168" formatCode="#,##0\-;#,##0_-;&quot; &quot;"/>
    <numFmt numFmtId="169" formatCode="#,###"/>
    <numFmt numFmtId="170" formatCode="_(&quot;$&quot;\ * #,##0.00_);_(&quot;$&quot;\ * \(#,##0.00\);_(&quot;$&quot;\ * &quot;-&quot;??_);_(@_)"/>
    <numFmt numFmtId="171" formatCode="&quot;$&quot;\ #,##0.00"/>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Calibri"/>
      <family val="2"/>
    </font>
    <font>
      <b/>
      <sz val="9"/>
      <name val="Calibri"/>
      <family val="2"/>
    </font>
    <font>
      <sz val="10"/>
      <name val="Arial"/>
      <family val="2"/>
    </font>
    <font>
      <b/>
      <sz val="9"/>
      <color indexed="9"/>
      <name val="Calibri"/>
      <family val="2"/>
    </font>
    <font>
      <b/>
      <sz val="9"/>
      <color indexed="8"/>
      <name val="Calibri"/>
      <family val="2"/>
    </font>
    <font>
      <sz val="9"/>
      <color indexed="8"/>
      <name val="Calibri"/>
      <family val="2"/>
    </font>
    <font>
      <b/>
      <sz val="10"/>
      <color indexed="9"/>
      <name val="Calibri"/>
      <family val="2"/>
    </font>
    <font>
      <b/>
      <sz val="10"/>
      <name val="Calibri"/>
      <family val="2"/>
    </font>
    <font>
      <sz val="10"/>
      <name val="Calibri"/>
      <family val="2"/>
    </font>
    <font>
      <sz val="10"/>
      <color indexed="8"/>
      <name val="Calibri"/>
      <family val="2"/>
    </font>
    <font>
      <b/>
      <sz val="10"/>
      <name val="Arial"/>
      <family val="2"/>
    </font>
    <font>
      <sz val="10"/>
      <color indexed="8"/>
      <name val="Arial"/>
      <family val="2"/>
    </font>
    <font>
      <b/>
      <sz val="9"/>
      <color indexed="81"/>
      <name val="Tahoma"/>
      <family val="2"/>
    </font>
    <font>
      <sz val="9"/>
      <color indexed="81"/>
      <name val="Tahoma"/>
      <family val="2"/>
    </font>
    <font>
      <sz val="10"/>
      <name val="Arial"/>
      <family val="2"/>
    </font>
    <font>
      <b/>
      <sz val="9"/>
      <color theme="0"/>
      <name val="Calibri"/>
      <family val="2"/>
    </font>
    <font>
      <sz val="9"/>
      <color theme="0"/>
      <name val="Calibri"/>
      <family val="2"/>
    </font>
    <font>
      <sz val="10"/>
      <name val="Calibri"/>
      <family val="2"/>
      <scheme val="minor"/>
    </font>
    <font>
      <sz val="10"/>
      <name val="Calibri Light"/>
      <family val="2"/>
      <scheme val="major"/>
    </font>
    <font>
      <sz val="9"/>
      <name val="Calibri Light"/>
      <family val="2"/>
      <scheme val="major"/>
    </font>
    <font>
      <b/>
      <sz val="10"/>
      <color indexed="8"/>
      <name val="Calibri"/>
      <family val="2"/>
      <scheme val="minor"/>
    </font>
    <font>
      <sz val="10"/>
      <color indexed="8"/>
      <name val="Calibri"/>
      <family val="2"/>
      <scheme val="minor"/>
    </font>
    <font>
      <b/>
      <sz val="10"/>
      <color indexed="9"/>
      <name val="Calibri"/>
      <family val="2"/>
      <scheme val="minor"/>
    </font>
    <font>
      <sz val="10"/>
      <name val="Arial Black"/>
      <family val="2"/>
    </font>
    <font>
      <b/>
      <sz val="10"/>
      <name val="Arial Black"/>
      <family val="2"/>
    </font>
    <font>
      <b/>
      <sz val="11"/>
      <name val="Arial"/>
      <family val="2"/>
    </font>
    <font>
      <b/>
      <sz val="9"/>
      <name val="Arial"/>
      <family val="2"/>
    </font>
    <font>
      <sz val="9"/>
      <name val="Arial"/>
      <family val="2"/>
    </font>
    <font>
      <b/>
      <sz val="10"/>
      <name val="Calibri Light"/>
      <family val="2"/>
      <scheme val="major"/>
    </font>
    <font>
      <sz val="10"/>
      <color rgb="FFC00000"/>
      <name val="Arial"/>
      <family val="2"/>
    </font>
    <font>
      <sz val="9"/>
      <color theme="6" tint="0.79998168889431442"/>
      <name val="Arial"/>
      <family val="2"/>
    </font>
    <font>
      <sz val="10"/>
      <color theme="0"/>
      <name val="Calibri Light"/>
      <family val="2"/>
      <scheme val="major"/>
    </font>
    <font>
      <b/>
      <sz val="10"/>
      <color theme="0" tint="-0.14999847407452621"/>
      <name val="Calibri Light"/>
      <family val="2"/>
      <scheme val="major"/>
    </font>
    <font>
      <b/>
      <sz val="9"/>
      <color theme="0" tint="-0.14999847407452621"/>
      <name val="Arial"/>
      <family val="2"/>
    </font>
    <font>
      <sz val="10"/>
      <name val="Arial Narrow"/>
      <family val="2"/>
    </font>
    <font>
      <sz val="9"/>
      <color theme="0"/>
      <name val="Arial"/>
      <family val="2"/>
    </font>
    <font>
      <b/>
      <sz val="12"/>
      <name val="Calibri Light"/>
      <family val="2"/>
      <scheme val="major"/>
    </font>
    <font>
      <b/>
      <sz val="11"/>
      <name val="Calibri Light"/>
      <family val="2"/>
      <scheme val="major"/>
    </font>
    <font>
      <b/>
      <sz val="11"/>
      <color theme="1"/>
      <name val="Calibri"/>
      <family val="2"/>
      <scheme val="minor"/>
    </font>
    <font>
      <sz val="10"/>
      <color rgb="FF00B0F0"/>
      <name val="Calibri Light"/>
      <family val="2"/>
      <scheme val="major"/>
    </font>
    <font>
      <b/>
      <sz val="8"/>
      <name val="Arial"/>
      <family val="2"/>
    </font>
    <font>
      <sz val="9"/>
      <color theme="1" tint="0.499984740745262"/>
      <name val="Calibri"/>
      <family val="2"/>
    </font>
    <font>
      <b/>
      <sz val="12"/>
      <color theme="0"/>
      <name val="Calibri Light"/>
      <family val="2"/>
      <scheme val="major"/>
    </font>
    <font>
      <b/>
      <sz val="12"/>
      <color indexed="9"/>
      <name val="Calibri Light"/>
      <family val="2"/>
      <scheme val="major"/>
    </font>
    <font>
      <sz val="12"/>
      <name val="Calibri Light"/>
      <family val="2"/>
      <scheme val="major"/>
    </font>
  </fonts>
  <fills count="30">
    <fill>
      <patternFill patternType="none"/>
    </fill>
    <fill>
      <patternFill patternType="gray125"/>
    </fill>
    <fill>
      <patternFill patternType="solid">
        <fgColor indexed="63"/>
        <bgColor indexed="8"/>
      </patternFill>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indexed="63"/>
        <bgColor indexed="64"/>
      </patternFill>
    </fill>
    <fill>
      <patternFill patternType="solid">
        <fgColor indexed="26"/>
        <bgColor indexed="64"/>
      </patternFill>
    </fill>
    <fill>
      <patternFill patternType="solid">
        <fgColor indexed="43"/>
        <bgColor indexed="64"/>
      </patternFill>
    </fill>
    <fill>
      <patternFill patternType="solid">
        <fgColor indexed="26"/>
        <bgColor indexed="8"/>
      </patternFill>
    </fill>
    <fill>
      <patternFill patternType="solid">
        <fgColor theme="2" tint="-0.249977111117893"/>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theme="1" tint="0.249977111117893"/>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tint="-0.34998626667073579"/>
        <bgColor theme="1" tint="0.499984740745262"/>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3" tint="0.59999389629810485"/>
        <bgColor indexed="64"/>
      </patternFill>
    </fill>
    <fill>
      <patternFill patternType="solid">
        <fgColor indexed="29"/>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rgb="FF999999"/>
      </left>
      <right/>
      <top style="thin">
        <color rgb="FF999999"/>
      </top>
      <bottom/>
      <diagonal/>
    </border>
    <border>
      <left style="thin">
        <color rgb="FF999999"/>
      </left>
      <right/>
      <top/>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s>
  <cellStyleXfs count="21">
    <xf numFmtId="0" fontId="0" fillId="0" borderId="0"/>
    <xf numFmtId="0" fontId="16" fillId="0" borderId="0"/>
    <xf numFmtId="0" fontId="25" fillId="0" borderId="0"/>
    <xf numFmtId="0" fontId="12" fillId="0" borderId="0"/>
    <xf numFmtId="0" fontId="13" fillId="0" borderId="0"/>
    <xf numFmtId="9" fontId="28" fillId="0" borderId="0" applyFont="0" applyFill="0" applyBorder="0" applyAlignment="0" applyProtection="0"/>
    <xf numFmtId="0" fontId="13" fillId="0" borderId="0"/>
    <xf numFmtId="0" fontId="13" fillId="0" borderId="0" applyFont="0" applyFill="0" applyBorder="0" applyAlignment="0" applyProtection="0"/>
    <xf numFmtId="164" fontId="13"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1" fontId="48" fillId="23" borderId="0" applyFill="0">
      <alignment horizontal="center" vertical="center"/>
    </xf>
    <xf numFmtId="9" fontId="9"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0" fontId="5" fillId="0" borderId="0"/>
    <xf numFmtId="9" fontId="4"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596">
    <xf numFmtId="0" fontId="0" fillId="0" borderId="0" xfId="0"/>
    <xf numFmtId="3" fontId="17" fillId="2" borderId="1" xfId="1" applyNumberFormat="1" applyFont="1" applyFill="1" applyBorder="1" applyAlignment="1" applyProtection="1">
      <alignment horizontal="center" vertical="center" wrapText="1"/>
      <protection locked="0"/>
    </xf>
    <xf numFmtId="165" fontId="17" fillId="2" borderId="1" xfId="1" applyNumberFormat="1" applyFont="1" applyFill="1" applyBorder="1" applyAlignment="1" applyProtection="1">
      <alignment horizontal="center" vertical="center" wrapText="1"/>
      <protection locked="0"/>
    </xf>
    <xf numFmtId="10" fontId="17" fillId="2" borderId="1" xfId="1" applyNumberFormat="1" applyFont="1" applyFill="1" applyBorder="1" applyAlignment="1" applyProtection="1">
      <alignment horizontal="right" vertical="center" wrapText="1"/>
      <protection locked="0"/>
    </xf>
    <xf numFmtId="0" fontId="17" fillId="2" borderId="2" xfId="1" applyFont="1" applyFill="1" applyBorder="1" applyAlignment="1" applyProtection="1">
      <alignment horizontal="centerContinuous" vertical="center" wrapText="1"/>
      <protection locked="0"/>
    </xf>
    <xf numFmtId="0" fontId="17" fillId="2" borderId="3" xfId="1" applyFont="1" applyFill="1" applyBorder="1" applyAlignment="1" applyProtection="1">
      <alignment horizontal="centerContinuous" vertical="center" wrapText="1"/>
      <protection locked="0"/>
    </xf>
    <xf numFmtId="0" fontId="15" fillId="3" borderId="4" xfId="1" applyFont="1" applyFill="1" applyBorder="1" applyAlignment="1">
      <alignment horizontal="left"/>
    </xf>
    <xf numFmtId="0" fontId="15" fillId="3" borderId="2" xfId="1" applyFont="1" applyFill="1" applyBorder="1" applyAlignment="1">
      <alignment horizontal="centerContinuous"/>
    </xf>
    <xf numFmtId="0" fontId="15" fillId="3" borderId="3" xfId="1" applyFont="1" applyFill="1" applyBorder="1" applyAlignment="1">
      <alignment horizontal="centerContinuous"/>
    </xf>
    <xf numFmtId="166" fontId="15" fillId="3" borderId="1" xfId="1" applyNumberFormat="1" applyFont="1" applyFill="1" applyBorder="1"/>
    <xf numFmtId="10" fontId="15" fillId="3" borderId="1" xfId="1" applyNumberFormat="1" applyFont="1" applyFill="1" applyBorder="1" applyAlignment="1">
      <alignment horizontal="right"/>
    </xf>
    <xf numFmtId="0" fontId="18" fillId="4" borderId="4" xfId="1" applyFont="1" applyFill="1" applyBorder="1" applyAlignment="1">
      <alignment horizontal="left"/>
    </xf>
    <xf numFmtId="0" fontId="18" fillId="4" borderId="2" xfId="1" applyFont="1" applyFill="1" applyBorder="1" applyAlignment="1">
      <alignment horizontal="left"/>
    </xf>
    <xf numFmtId="0" fontId="18" fillId="4" borderId="3" xfId="1" applyFont="1" applyFill="1" applyBorder="1" applyAlignment="1">
      <alignment horizontal="left"/>
    </xf>
    <xf numFmtId="166" fontId="18" fillId="4" borderId="1" xfId="1" applyNumberFormat="1" applyFont="1" applyFill="1" applyBorder="1"/>
    <xf numFmtId="10" fontId="18" fillId="4" borderId="1" xfId="1" applyNumberFormat="1" applyFont="1" applyFill="1" applyBorder="1" applyAlignment="1">
      <alignment horizontal="right"/>
    </xf>
    <xf numFmtId="0" fontId="19" fillId="0" borderId="1" xfId="1" applyFont="1" applyBorder="1" applyProtection="1">
      <protection locked="0"/>
    </xf>
    <xf numFmtId="166" fontId="19" fillId="0" borderId="1" xfId="1" applyNumberFormat="1" applyFont="1" applyBorder="1" applyProtection="1">
      <protection locked="0"/>
    </xf>
    <xf numFmtId="10" fontId="19" fillId="5" borderId="1" xfId="1" applyNumberFormat="1" applyFont="1" applyFill="1" applyBorder="1" applyAlignment="1" applyProtection="1">
      <alignment horizontal="right"/>
      <protection locked="0"/>
    </xf>
    <xf numFmtId="0" fontId="16" fillId="0" borderId="0" xfId="1"/>
    <xf numFmtId="0" fontId="14" fillId="0" borderId="1" xfId="1" applyFont="1" applyBorder="1" applyProtection="1">
      <protection locked="0"/>
    </xf>
    <xf numFmtId="10" fontId="14" fillId="5" borderId="1" xfId="1" applyNumberFormat="1" applyFont="1" applyFill="1" applyBorder="1" applyAlignment="1" applyProtection="1">
      <alignment horizontal="right"/>
      <protection locked="0"/>
    </xf>
    <xf numFmtId="0" fontId="18" fillId="4" borderId="1" xfId="1" applyFont="1" applyFill="1" applyBorder="1" applyAlignment="1">
      <alignment horizontal="left"/>
    </xf>
    <xf numFmtId="166" fontId="14" fillId="0" borderId="1" xfId="1" applyNumberFormat="1" applyFont="1" applyBorder="1" applyProtection="1">
      <protection locked="0"/>
    </xf>
    <xf numFmtId="0" fontId="15" fillId="3" borderId="4" xfId="1" applyFont="1" applyFill="1" applyBorder="1" applyAlignment="1">
      <alignment horizontal="centerContinuous"/>
    </xf>
    <xf numFmtId="0" fontId="20" fillId="6" borderId="10" xfId="1" applyFont="1" applyFill="1" applyBorder="1" applyAlignment="1">
      <alignment horizontal="center"/>
    </xf>
    <xf numFmtId="49" fontId="20" fillId="6" borderId="11" xfId="1" applyNumberFormat="1" applyFont="1" applyFill="1" applyBorder="1" applyAlignment="1">
      <alignment horizontal="center" vertical="center" wrapText="1"/>
    </xf>
    <xf numFmtId="0" fontId="20" fillId="6" borderId="11" xfId="1" applyFont="1" applyFill="1" applyBorder="1" applyAlignment="1">
      <alignment horizontal="center" vertical="center" wrapText="1"/>
    </xf>
    <xf numFmtId="166" fontId="20" fillId="6" borderId="11" xfId="1" applyNumberFormat="1" applyFont="1" applyFill="1" applyBorder="1" applyAlignment="1">
      <alignment horizontal="center" vertical="center" wrapText="1"/>
    </xf>
    <xf numFmtId="9" fontId="20" fillId="6" borderId="11" xfId="1" applyNumberFormat="1" applyFont="1" applyFill="1" applyBorder="1" applyAlignment="1">
      <alignment horizontal="center" vertical="center" wrapText="1"/>
    </xf>
    <xf numFmtId="166" fontId="20" fillId="6" borderId="12" xfId="1" applyNumberFormat="1" applyFont="1" applyFill="1" applyBorder="1" applyAlignment="1">
      <alignment horizontal="center" vertical="center" wrapText="1"/>
    </xf>
    <xf numFmtId="0" fontId="21" fillId="4" borderId="13" xfId="1" applyFont="1" applyFill="1" applyBorder="1" applyAlignment="1">
      <alignment horizontal="centerContinuous"/>
    </xf>
    <xf numFmtId="0" fontId="21" fillId="4" borderId="14" xfId="1" applyFont="1" applyFill="1" applyBorder="1" applyAlignment="1">
      <alignment horizontal="centerContinuous"/>
    </xf>
    <xf numFmtId="0" fontId="21" fillId="4" borderId="15" xfId="1" applyFont="1" applyFill="1" applyBorder="1" applyAlignment="1">
      <alignment horizontal="centerContinuous"/>
    </xf>
    <xf numFmtId="49" fontId="22" fillId="0" borderId="1" xfId="1" applyNumberFormat="1" applyFont="1" applyBorder="1" applyAlignment="1">
      <alignment horizontal="center"/>
    </xf>
    <xf numFmtId="0" fontId="22" fillId="0" borderId="1" xfId="1" applyFont="1" applyBorder="1" applyAlignment="1">
      <alignment horizontal="right"/>
    </xf>
    <xf numFmtId="9" fontId="22" fillId="0" borderId="1" xfId="1" applyNumberFormat="1" applyFont="1" applyBorder="1" applyProtection="1">
      <protection locked="0"/>
    </xf>
    <xf numFmtId="0" fontId="21" fillId="4" borderId="0" xfId="1" applyFont="1" applyFill="1" applyAlignment="1">
      <alignment horizontal="centerContinuous"/>
    </xf>
    <xf numFmtId="0" fontId="20" fillId="6" borderId="9" xfId="1" applyFont="1" applyFill="1" applyBorder="1" applyAlignment="1">
      <alignment horizontal="center"/>
    </xf>
    <xf numFmtId="49" fontId="20" fillId="6" borderId="9" xfId="1" applyNumberFormat="1" applyFont="1" applyFill="1" applyBorder="1" applyAlignment="1">
      <alignment horizontal="center" vertical="center" wrapText="1"/>
    </xf>
    <xf numFmtId="0" fontId="20" fillId="6" borderId="9" xfId="1" applyFont="1" applyFill="1" applyBorder="1" applyAlignment="1">
      <alignment horizontal="right" vertical="center" wrapText="1"/>
    </xf>
    <xf numFmtId="49" fontId="20" fillId="6" borderId="9" xfId="1" applyNumberFormat="1" applyFont="1" applyFill="1" applyBorder="1" applyAlignment="1">
      <alignment horizontal="left" vertical="center" wrapText="1"/>
    </xf>
    <xf numFmtId="166" fontId="20" fillId="6" borderId="9" xfId="1" applyNumberFormat="1" applyFont="1" applyFill="1" applyBorder="1" applyAlignment="1">
      <alignment horizontal="center" vertical="center" wrapText="1"/>
    </xf>
    <xf numFmtId="10" fontId="20" fillId="6" borderId="9" xfId="1" applyNumberFormat="1" applyFont="1" applyFill="1" applyBorder="1" applyAlignment="1">
      <alignment horizontal="right" vertical="center" wrapText="1"/>
    </xf>
    <xf numFmtId="3" fontId="0" fillId="0" borderId="0" xfId="0" applyNumberFormat="1"/>
    <xf numFmtId="166" fontId="19" fillId="7" borderId="1" xfId="1" applyNumberFormat="1" applyFont="1" applyFill="1" applyBorder="1" applyProtection="1">
      <protection locked="0"/>
    </xf>
    <xf numFmtId="0" fontId="24" fillId="8" borderId="1" xfId="0" applyFont="1" applyFill="1" applyBorder="1"/>
    <xf numFmtId="10" fontId="19" fillId="0" borderId="1" xfId="1" applyNumberFormat="1" applyFont="1" applyFill="1" applyBorder="1" applyAlignment="1" applyProtection="1">
      <alignment horizontal="right"/>
      <protection locked="0"/>
    </xf>
    <xf numFmtId="10" fontId="14" fillId="0" borderId="1" xfId="1" applyNumberFormat="1" applyFont="1" applyFill="1" applyBorder="1" applyAlignment="1" applyProtection="1">
      <alignment horizontal="right"/>
      <protection locked="0"/>
    </xf>
    <xf numFmtId="0" fontId="17" fillId="2" borderId="4" xfId="1" applyFont="1" applyFill="1" applyBorder="1" applyAlignment="1" applyProtection="1">
      <alignment horizontal="center" vertical="center" wrapText="1"/>
      <protection locked="0"/>
    </xf>
    <xf numFmtId="3" fontId="22" fillId="0" borderId="1" xfId="1" applyNumberFormat="1" applyFont="1" applyBorder="1" applyProtection="1">
      <protection locked="0"/>
    </xf>
    <xf numFmtId="3" fontId="23" fillId="0" borderId="1" xfId="1" applyNumberFormat="1" applyFont="1" applyBorder="1"/>
    <xf numFmtId="3" fontId="21" fillId="4" borderId="0" xfId="1" applyNumberFormat="1" applyFont="1" applyFill="1" applyAlignment="1">
      <alignment horizontal="centerContinuous"/>
    </xf>
    <xf numFmtId="3" fontId="21" fillId="4" borderId="16" xfId="1" applyNumberFormat="1" applyFont="1" applyFill="1" applyBorder="1" applyAlignment="1">
      <alignment horizontal="centerContinuous"/>
    </xf>
    <xf numFmtId="9" fontId="21" fillId="4" borderId="0" xfId="1" applyNumberFormat="1" applyFont="1" applyFill="1" applyAlignment="1">
      <alignment horizontal="centerContinuous"/>
    </xf>
    <xf numFmtId="166" fontId="0" fillId="0" borderId="0" xfId="0" applyNumberFormat="1"/>
    <xf numFmtId="3" fontId="0" fillId="0" borderId="1" xfId="0" applyNumberFormat="1" applyBorder="1"/>
    <xf numFmtId="14" fontId="0" fillId="0" borderId="0" xfId="0" applyNumberFormat="1"/>
    <xf numFmtId="1" fontId="0" fillId="0" borderId="0" xfId="0" applyNumberFormat="1"/>
    <xf numFmtId="3" fontId="13" fillId="0" borderId="0" xfId="0" applyNumberFormat="1" applyFont="1"/>
    <xf numFmtId="0" fontId="0" fillId="7" borderId="0" xfId="0" applyFill="1"/>
    <xf numFmtId="14" fontId="0" fillId="7" borderId="0" xfId="0" applyNumberFormat="1" applyFill="1" applyAlignment="1">
      <alignment horizontal="right"/>
    </xf>
    <xf numFmtId="3" fontId="0" fillId="7" borderId="0" xfId="0" applyNumberFormat="1" applyFill="1"/>
    <xf numFmtId="1" fontId="0" fillId="7" borderId="0" xfId="0" applyNumberFormat="1" applyFill="1"/>
    <xf numFmtId="3" fontId="0" fillId="0" borderId="1" xfId="0" applyNumberFormat="1" applyFill="1" applyBorder="1"/>
    <xf numFmtId="0" fontId="31" fillId="0" borderId="1" xfId="0" applyFont="1" applyFill="1" applyBorder="1"/>
    <xf numFmtId="0" fontId="14" fillId="0" borderId="0" xfId="0" applyFont="1" applyAlignment="1">
      <alignment horizontal="right"/>
    </xf>
    <xf numFmtId="0" fontId="31" fillId="0" borderId="0" xfId="0" applyFont="1"/>
    <xf numFmtId="10" fontId="34" fillId="4" borderId="1" xfId="1" applyNumberFormat="1" applyFont="1" applyFill="1" applyBorder="1" applyAlignment="1">
      <alignment horizontal="right"/>
    </xf>
    <xf numFmtId="0" fontId="31" fillId="0" borderId="1" xfId="0" applyFont="1" applyBorder="1"/>
    <xf numFmtId="3" fontId="31" fillId="0" borderId="1" xfId="0" applyNumberFormat="1" applyFont="1" applyBorder="1" applyAlignment="1">
      <alignment horizontal="right"/>
    </xf>
    <xf numFmtId="10" fontId="35" fillId="0" borderId="1" xfId="1" applyNumberFormat="1" applyFont="1" applyFill="1" applyBorder="1" applyAlignment="1">
      <alignment horizontal="right"/>
    </xf>
    <xf numFmtId="10" fontId="31" fillId="0" borderId="1" xfId="0" applyNumberFormat="1" applyFont="1" applyBorder="1" applyAlignment="1">
      <alignment horizontal="right"/>
    </xf>
    <xf numFmtId="0" fontId="31" fillId="0" borderId="0" xfId="0" applyFont="1" applyAlignment="1">
      <alignment horizontal="right"/>
    </xf>
    <xf numFmtId="3" fontId="36" fillId="2" borderId="5" xfId="1" applyNumberFormat="1" applyFont="1" applyFill="1" applyBorder="1" applyAlignment="1" applyProtection="1">
      <alignment horizontal="center" vertical="center" wrapText="1"/>
      <protection locked="0"/>
    </xf>
    <xf numFmtId="3" fontId="36" fillId="2" borderId="1" xfId="1" applyNumberFormat="1" applyFont="1" applyFill="1" applyBorder="1" applyAlignment="1" applyProtection="1">
      <alignment horizontal="center" vertical="center" wrapText="1"/>
      <protection locked="0"/>
    </xf>
    <xf numFmtId="3" fontId="36" fillId="2" borderId="1" xfId="1" applyNumberFormat="1" applyFont="1" applyFill="1" applyBorder="1" applyAlignment="1" applyProtection="1">
      <alignment horizontal="right" vertical="center" wrapText="1"/>
      <protection locked="0"/>
    </xf>
    <xf numFmtId="167" fontId="36" fillId="2" borderId="1" xfId="1" applyNumberFormat="1" applyFont="1" applyFill="1" applyBorder="1" applyAlignment="1" applyProtection="1">
      <alignment horizontal="right" vertical="center" wrapText="1"/>
      <protection locked="0"/>
    </xf>
    <xf numFmtId="3" fontId="36" fillId="2" borderId="8" xfId="1" applyNumberFormat="1" applyFont="1" applyFill="1" applyBorder="1" applyAlignment="1" applyProtection="1">
      <alignment horizontal="center" vertical="center" wrapText="1"/>
      <protection locked="0"/>
    </xf>
    <xf numFmtId="0" fontId="34" fillId="4" borderId="1" xfId="1" applyFont="1" applyFill="1" applyBorder="1"/>
    <xf numFmtId="0" fontId="35" fillId="0" borderId="1" xfId="1" applyFont="1" applyBorder="1" applyProtection="1">
      <protection locked="0"/>
    </xf>
    <xf numFmtId="49" fontId="35" fillId="0" borderId="1" xfId="1" applyNumberFormat="1" applyFont="1" applyBorder="1" applyProtection="1">
      <protection locked="0"/>
    </xf>
    <xf numFmtId="10" fontId="35" fillId="0" borderId="1" xfId="1" applyNumberFormat="1" applyFont="1" applyBorder="1" applyAlignment="1" applyProtection="1">
      <alignment horizontal="right"/>
      <protection locked="0"/>
    </xf>
    <xf numFmtId="49" fontId="35" fillId="0" borderId="1" xfId="1" applyNumberFormat="1" applyFont="1" applyFill="1" applyBorder="1" applyAlignment="1" applyProtection="1">
      <alignment horizontal="left"/>
      <protection locked="0"/>
    </xf>
    <xf numFmtId="0" fontId="31" fillId="0" borderId="1" xfId="0" applyFont="1" applyFill="1" applyBorder="1" applyAlignment="1">
      <alignment horizontal="left"/>
    </xf>
    <xf numFmtId="0" fontId="32" fillId="0" borderId="1" xfId="0" applyFont="1" applyFill="1" applyBorder="1" applyAlignment="1">
      <alignment horizontal="left" vertical="center"/>
    </xf>
    <xf numFmtId="0" fontId="32" fillId="12" borderId="0" xfId="0" applyFont="1" applyFill="1" applyAlignment="1">
      <alignment vertical="center"/>
    </xf>
    <xf numFmtId="3" fontId="32" fillId="0" borderId="0" xfId="0" applyNumberFormat="1" applyFont="1" applyFill="1" applyAlignment="1">
      <alignment vertical="center"/>
    </xf>
    <xf numFmtId="0" fontId="32" fillId="0" borderId="0" xfId="0" applyFont="1" applyFill="1" applyAlignment="1">
      <alignment vertical="center"/>
    </xf>
    <xf numFmtId="3" fontId="39" fillId="0" borderId="0" xfId="7" applyNumberFormat="1" applyFont="1" applyAlignment="1">
      <alignment horizontal="center" vertical="center" wrapText="1"/>
    </xf>
    <xf numFmtId="3" fontId="39" fillId="0" borderId="0" xfId="7" applyNumberFormat="1" applyFont="1" applyFill="1" applyAlignment="1">
      <alignment horizontal="center" vertical="center" wrapText="1"/>
    </xf>
    <xf numFmtId="49" fontId="24" fillId="0" borderId="0" xfId="7" applyNumberFormat="1" applyFont="1" applyAlignment="1">
      <alignment horizontal="center" vertical="center" wrapText="1"/>
    </xf>
    <xf numFmtId="3" fontId="42" fillId="0" borderId="0" xfId="7" applyNumberFormat="1" applyFont="1" applyFill="1" applyAlignment="1">
      <alignment horizontal="center" vertical="center" wrapText="1"/>
    </xf>
    <xf numFmtId="0" fontId="32" fillId="0" borderId="1" xfId="0" applyFont="1" applyFill="1" applyBorder="1" applyAlignment="1">
      <alignment horizontal="left"/>
    </xf>
    <xf numFmtId="49" fontId="32" fillId="0" borderId="0" xfId="5" applyNumberFormat="1" applyFont="1" applyFill="1" applyBorder="1" applyAlignment="1">
      <alignment horizontal="justify" vertical="center"/>
    </xf>
    <xf numFmtId="0" fontId="32" fillId="0" borderId="0" xfId="0" applyFont="1" applyFill="1" applyBorder="1" applyAlignment="1">
      <alignment horizontal="left"/>
    </xf>
    <xf numFmtId="10" fontId="42" fillId="0" borderId="0" xfId="5" applyNumberFormat="1" applyFont="1" applyFill="1" applyBorder="1" applyAlignment="1">
      <alignment horizontal="center" vertical="center"/>
    </xf>
    <xf numFmtId="0" fontId="32" fillId="0" borderId="0" xfId="0" applyFont="1" applyFill="1" applyAlignment="1">
      <alignment vertical="center" wrapText="1"/>
    </xf>
    <xf numFmtId="10" fontId="42" fillId="0" borderId="0" xfId="7" applyNumberFormat="1" applyFont="1" applyFill="1" applyAlignment="1">
      <alignment horizontal="center" vertical="center" wrapText="1"/>
    </xf>
    <xf numFmtId="49" fontId="42" fillId="0" borderId="0" xfId="7" applyNumberFormat="1" applyFont="1" applyFill="1" applyAlignment="1">
      <alignment horizontal="center" vertical="center" wrapText="1"/>
    </xf>
    <xf numFmtId="0" fontId="32" fillId="0" borderId="0" xfId="0" applyFont="1" applyFill="1"/>
    <xf numFmtId="10" fontId="32" fillId="0" borderId="0" xfId="0" applyNumberFormat="1" applyFont="1" applyFill="1"/>
    <xf numFmtId="0" fontId="42" fillId="0" borderId="0" xfId="0" applyFont="1" applyFill="1" applyAlignment="1">
      <alignment horizontal="left" vertical="center"/>
    </xf>
    <xf numFmtId="169" fontId="42" fillId="0" borderId="1" xfId="0" applyNumberFormat="1" applyFont="1" applyFill="1" applyBorder="1" applyAlignment="1">
      <alignment horizontal="center" vertical="center" wrapText="1"/>
    </xf>
    <xf numFmtId="0" fontId="42" fillId="0" borderId="1" xfId="0" applyFont="1" applyFill="1" applyBorder="1" applyAlignment="1">
      <alignment horizontal="left"/>
    </xf>
    <xf numFmtId="0" fontId="42" fillId="0" borderId="0" xfId="0" applyFont="1" applyFill="1"/>
    <xf numFmtId="10" fontId="42" fillId="0" borderId="0" xfId="0" applyNumberFormat="1" applyFont="1" applyFill="1"/>
    <xf numFmtId="0" fontId="42" fillId="0" borderId="1" xfId="1" applyFont="1" applyFill="1" applyBorder="1" applyAlignment="1">
      <alignment horizontal="left" vertical="center"/>
    </xf>
    <xf numFmtId="0" fontId="42" fillId="0" borderId="0" xfId="0" applyFont="1" applyFill="1" applyBorder="1" applyAlignment="1">
      <alignment horizontal="left" vertical="center"/>
    </xf>
    <xf numFmtId="49" fontId="42" fillId="0" borderId="0" xfId="5" applyNumberFormat="1" applyFont="1" applyFill="1" applyBorder="1" applyAlignment="1">
      <alignment horizontal="justify" vertical="center"/>
    </xf>
    <xf numFmtId="10" fontId="32" fillId="0" borderId="1" xfId="0" applyNumberFormat="1" applyFont="1" applyFill="1" applyBorder="1"/>
    <xf numFmtId="0" fontId="32" fillId="0" borderId="1" xfId="0" applyFont="1" applyFill="1" applyBorder="1"/>
    <xf numFmtId="10" fontId="42" fillId="0" borderId="1" xfId="0" applyNumberFormat="1" applyFont="1" applyFill="1" applyBorder="1"/>
    <xf numFmtId="0" fontId="42" fillId="0" borderId="1" xfId="0" applyFont="1" applyFill="1" applyBorder="1"/>
    <xf numFmtId="0" fontId="32" fillId="0" borderId="16" xfId="0" applyFont="1" applyFill="1" applyBorder="1" applyAlignment="1">
      <alignment horizontal="left"/>
    </xf>
    <xf numFmtId="0" fontId="42" fillId="0" borderId="39" xfId="0" applyFont="1" applyFill="1" applyBorder="1" applyAlignment="1">
      <alignment horizontal="left" vertical="center" wrapText="1"/>
    </xf>
    <xf numFmtId="166" fontId="42" fillId="0" borderId="0" xfId="0" applyNumberFormat="1" applyFont="1" applyFill="1" applyBorder="1" applyAlignment="1">
      <alignment horizontal="center" vertical="center" wrapText="1"/>
    </xf>
    <xf numFmtId="169" fontId="42" fillId="0" borderId="0" xfId="0" applyNumberFormat="1"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19" borderId="1" xfId="0" applyFont="1" applyFill="1" applyBorder="1" applyAlignment="1">
      <alignment horizontal="left" vertical="center"/>
    </xf>
    <xf numFmtId="10" fontId="42" fillId="19" borderId="1" xfId="0" applyNumberFormat="1" applyFont="1" applyFill="1" applyBorder="1"/>
    <xf numFmtId="49" fontId="42" fillId="19" borderId="1" xfId="5" applyNumberFormat="1" applyFont="1" applyFill="1" applyBorder="1" applyAlignment="1">
      <alignment horizontal="justify" vertical="center"/>
    </xf>
    <xf numFmtId="0" fontId="32" fillId="19" borderId="0" xfId="0" applyFont="1" applyFill="1" applyAlignment="1">
      <alignment vertical="center"/>
    </xf>
    <xf numFmtId="166" fontId="42" fillId="0" borderId="1" xfId="0" applyNumberFormat="1" applyFont="1" applyFill="1" applyBorder="1" applyAlignment="1">
      <alignment horizontal="center" vertical="center" wrapText="1"/>
    </xf>
    <xf numFmtId="0" fontId="32" fillId="0" borderId="1" xfId="0" applyFont="1" applyFill="1" applyBorder="1" applyAlignment="1">
      <alignment vertical="center" wrapText="1"/>
    </xf>
    <xf numFmtId="10" fontId="42" fillId="19" borderId="1" xfId="5" applyNumberFormat="1" applyFont="1" applyFill="1" applyBorder="1" applyAlignment="1">
      <alignment horizontal="center" vertical="center"/>
    </xf>
    <xf numFmtId="49" fontId="32" fillId="19" borderId="1" xfId="5" applyNumberFormat="1" applyFont="1" applyFill="1" applyBorder="1" applyAlignment="1">
      <alignment horizontal="justify" vertical="center"/>
    </xf>
    <xf numFmtId="0" fontId="42" fillId="19" borderId="0" xfId="0" applyFont="1" applyFill="1" applyAlignment="1">
      <alignment vertical="center" wrapText="1"/>
    </xf>
    <xf numFmtId="3" fontId="42" fillId="19" borderId="1" xfId="0" applyNumberFormat="1" applyFont="1" applyFill="1" applyBorder="1" applyAlignment="1">
      <alignment horizontal="center" vertical="center" wrapText="1"/>
    </xf>
    <xf numFmtId="0" fontId="0" fillId="0" borderId="59" xfId="0" applyBorder="1"/>
    <xf numFmtId="0" fontId="0" fillId="0" borderId="60" xfId="0" applyBorder="1"/>
    <xf numFmtId="3" fontId="0" fillId="0" borderId="61" xfId="0" applyNumberFormat="1" applyBorder="1"/>
    <xf numFmtId="3" fontId="0" fillId="0" borderId="62" xfId="0" applyNumberFormat="1" applyBorder="1"/>
    <xf numFmtId="0" fontId="43" fillId="0" borderId="60" xfId="0" applyFont="1" applyBorder="1"/>
    <xf numFmtId="1" fontId="22" fillId="0" borderId="1" xfId="1" applyNumberFormat="1" applyFont="1" applyBorder="1" applyAlignment="1">
      <alignment horizontal="left"/>
    </xf>
    <xf numFmtId="49" fontId="32" fillId="0" borderId="1" xfId="3" applyNumberFormat="1" applyFont="1" applyFill="1" applyBorder="1" applyAlignment="1">
      <alignment horizontal="left" vertical="center"/>
    </xf>
    <xf numFmtId="10" fontId="42" fillId="0" borderId="0" xfId="7" applyNumberFormat="1" applyFont="1" applyFill="1" applyAlignment="1">
      <alignment horizontal="right" vertical="center" wrapText="1"/>
    </xf>
    <xf numFmtId="10" fontId="42" fillId="0" borderId="1" xfId="0" applyNumberFormat="1" applyFont="1" applyFill="1" applyBorder="1" applyAlignment="1">
      <alignment horizontal="right"/>
    </xf>
    <xf numFmtId="10" fontId="32" fillId="0" borderId="1" xfId="0" applyNumberFormat="1" applyFont="1" applyFill="1" applyBorder="1" applyAlignment="1">
      <alignment horizontal="right"/>
    </xf>
    <xf numFmtId="10" fontId="42" fillId="19" borderId="1" xfId="0" applyNumberFormat="1" applyFont="1" applyFill="1" applyBorder="1" applyAlignment="1">
      <alignment horizontal="right" vertical="center"/>
    </xf>
    <xf numFmtId="10" fontId="42" fillId="0" borderId="0" xfId="0" applyNumberFormat="1" applyFont="1" applyFill="1" applyBorder="1" applyAlignment="1">
      <alignment horizontal="right" vertical="center"/>
    </xf>
    <xf numFmtId="10" fontId="42" fillId="0" borderId="1" xfId="0" applyNumberFormat="1" applyFont="1" applyFill="1" applyBorder="1" applyAlignment="1">
      <alignment horizontal="right" vertical="center" wrapText="1"/>
    </xf>
    <xf numFmtId="10" fontId="42" fillId="0" borderId="0" xfId="0" applyNumberFormat="1" applyFont="1" applyFill="1" applyBorder="1" applyAlignment="1">
      <alignment horizontal="right" vertical="center" wrapText="1"/>
    </xf>
    <xf numFmtId="10" fontId="32" fillId="0" borderId="0" xfId="0" applyNumberFormat="1" applyFont="1" applyFill="1" applyAlignment="1">
      <alignment horizontal="right"/>
    </xf>
    <xf numFmtId="10" fontId="42" fillId="19" borderId="1" xfId="5" applyNumberFormat="1" applyFont="1" applyFill="1" applyBorder="1" applyAlignment="1">
      <alignment horizontal="right" vertical="center"/>
    </xf>
    <xf numFmtId="10" fontId="42" fillId="0" borderId="0" xfId="5" applyNumberFormat="1" applyFont="1" applyFill="1" applyBorder="1" applyAlignment="1">
      <alignment horizontal="right" vertical="center"/>
    </xf>
    <xf numFmtId="3" fontId="17" fillId="2" borderId="1" xfId="1" applyNumberFormat="1" applyFont="1" applyFill="1" applyBorder="1" applyAlignment="1" applyProtection="1">
      <alignment horizontal="left" vertical="center" wrapText="1"/>
      <protection locked="0"/>
    </xf>
    <xf numFmtId="167" fontId="17" fillId="2" borderId="1" xfId="1" applyNumberFormat="1" applyFont="1" applyFill="1" applyBorder="1" applyAlignment="1" applyProtection="1">
      <alignment horizontal="center" vertical="center" wrapText="1"/>
      <protection locked="0"/>
    </xf>
    <xf numFmtId="167" fontId="17" fillId="2" borderId="1" xfId="1" applyNumberFormat="1" applyFont="1" applyFill="1" applyBorder="1" applyAlignment="1" applyProtection="1">
      <alignment horizontal="right" vertical="center" wrapText="1"/>
      <protection locked="0"/>
    </xf>
    <xf numFmtId="3" fontId="17" fillId="2" borderId="1" xfId="1" applyNumberFormat="1" applyFont="1" applyFill="1" applyBorder="1" applyAlignment="1" applyProtection="1">
      <alignment horizontal="right" vertical="center" wrapText="1"/>
      <protection locked="0"/>
    </xf>
    <xf numFmtId="0" fontId="19" fillId="0" borderId="1" xfId="1" applyFont="1" applyBorder="1" applyAlignment="1" applyProtection="1">
      <alignment vertical="center"/>
      <protection locked="0"/>
    </xf>
    <xf numFmtId="3" fontId="19" fillId="0" borderId="1" xfId="1" applyNumberFormat="1" applyFont="1" applyBorder="1" applyAlignment="1" applyProtection="1">
      <alignment horizontal="right" vertical="center"/>
      <protection locked="0"/>
    </xf>
    <xf numFmtId="10" fontId="19" fillId="0" borderId="1" xfId="1" applyNumberFormat="1" applyFont="1" applyBorder="1" applyAlignment="1" applyProtection="1">
      <alignment horizontal="right" vertical="center"/>
      <protection locked="0"/>
    </xf>
    <xf numFmtId="0" fontId="14" fillId="0" borderId="0" xfId="0" applyFont="1" applyAlignment="1">
      <alignment horizontal="center" vertical="center"/>
    </xf>
    <xf numFmtId="0" fontId="14" fillId="0" borderId="0" xfId="0" applyFont="1" applyAlignment="1">
      <alignment vertical="center"/>
    </xf>
    <xf numFmtId="0" fontId="18" fillId="4" borderId="1" xfId="1" applyFont="1" applyFill="1" applyBorder="1" applyAlignment="1">
      <alignment vertical="center"/>
    </xf>
    <xf numFmtId="3" fontId="18" fillId="4" borderId="1" xfId="1" applyNumberFormat="1" applyFont="1" applyFill="1" applyBorder="1" applyAlignment="1">
      <alignment horizontal="right" vertical="center"/>
    </xf>
    <xf numFmtId="10" fontId="18" fillId="4" borderId="1" xfId="1" applyNumberFormat="1" applyFont="1" applyFill="1" applyBorder="1" applyAlignment="1">
      <alignment horizontal="right" vertical="center"/>
    </xf>
    <xf numFmtId="0" fontId="14" fillId="0" borderId="1" xfId="0" applyFont="1" applyBorder="1" applyAlignment="1">
      <alignment vertical="center"/>
    </xf>
    <xf numFmtId="3" fontId="14" fillId="0" borderId="1" xfId="0" applyNumberFormat="1" applyFont="1" applyBorder="1" applyAlignment="1">
      <alignment horizontal="right" vertical="center"/>
    </xf>
    <xf numFmtId="10" fontId="19" fillId="0" borderId="1" xfId="1" applyNumberFormat="1" applyFont="1" applyFill="1" applyBorder="1" applyAlignment="1">
      <alignment horizontal="right" vertical="center"/>
    </xf>
    <xf numFmtId="0" fontId="14" fillId="0" borderId="0" xfId="0" applyFont="1"/>
    <xf numFmtId="0" fontId="31" fillId="0" borderId="1" xfId="3" applyFont="1" applyFill="1" applyBorder="1" applyAlignment="1">
      <alignment horizontal="left" vertical="center"/>
    </xf>
    <xf numFmtId="3" fontId="34" fillId="4" borderId="1" xfId="1" applyNumberFormat="1" applyFont="1" applyFill="1" applyBorder="1" applyAlignment="1">
      <alignment horizontal="right"/>
    </xf>
    <xf numFmtId="3" fontId="35" fillId="0" borderId="1" xfId="1" applyNumberFormat="1" applyFont="1" applyBorder="1" applyAlignment="1" applyProtection="1">
      <alignment horizontal="right"/>
      <protection locked="0"/>
    </xf>
    <xf numFmtId="3" fontId="31" fillId="0" borderId="0" xfId="0" applyNumberFormat="1" applyFont="1" applyAlignment="1">
      <alignment horizontal="right"/>
    </xf>
    <xf numFmtId="167" fontId="36" fillId="2" borderId="1" xfId="1" applyNumberFormat="1" applyFont="1" applyFill="1" applyBorder="1" applyAlignment="1" applyProtection="1">
      <alignment horizontal="center" vertical="center" wrapText="1"/>
      <protection locked="0"/>
    </xf>
    <xf numFmtId="0" fontId="31" fillId="0" borderId="0" xfId="0" applyFont="1" applyAlignment="1">
      <alignment horizontal="center"/>
    </xf>
    <xf numFmtId="10" fontId="42" fillId="19" borderId="1" xfId="0" applyNumberFormat="1" applyFont="1" applyFill="1" applyBorder="1" applyAlignment="1">
      <alignment horizontal="center" vertical="center" wrapText="1"/>
    </xf>
    <xf numFmtId="3" fontId="42" fillId="0" borderId="0" xfId="7" applyNumberFormat="1" applyFont="1" applyFill="1" applyAlignment="1">
      <alignment horizontal="right" vertical="center" wrapText="1"/>
    </xf>
    <xf numFmtId="3" fontId="42" fillId="0" borderId="1" xfId="0" applyNumberFormat="1" applyFont="1" applyFill="1" applyBorder="1" applyAlignment="1">
      <alignment horizontal="right"/>
    </xf>
    <xf numFmtId="3" fontId="32" fillId="0" borderId="1" xfId="0" applyNumberFormat="1" applyFont="1" applyFill="1" applyBorder="1" applyAlignment="1">
      <alignment horizontal="right"/>
    </xf>
    <xf numFmtId="3" fontId="42" fillId="19" borderId="1" xfId="0" applyNumberFormat="1" applyFont="1" applyFill="1" applyBorder="1" applyAlignment="1">
      <alignment horizontal="right" vertical="center"/>
    </xf>
    <xf numFmtId="3" fontId="42" fillId="0" borderId="0" xfId="0" applyNumberFormat="1" applyFont="1" applyFill="1" applyBorder="1" applyAlignment="1">
      <alignment horizontal="right" vertical="center"/>
    </xf>
    <xf numFmtId="3" fontId="42" fillId="0" borderId="1" xfId="0" applyNumberFormat="1" applyFont="1" applyFill="1" applyBorder="1" applyAlignment="1">
      <alignment horizontal="right" vertical="center"/>
    </xf>
    <xf numFmtId="166" fontId="42" fillId="0" borderId="1" xfId="0" applyNumberFormat="1" applyFont="1" applyFill="1" applyBorder="1" applyAlignment="1">
      <alignment horizontal="right" vertical="center" wrapText="1"/>
    </xf>
    <xf numFmtId="9" fontId="32" fillId="0" borderId="1" xfId="5" applyFont="1" applyFill="1" applyBorder="1" applyAlignment="1">
      <alignment horizontal="right" vertical="center" wrapText="1"/>
    </xf>
    <xf numFmtId="166" fontId="42" fillId="0" borderId="0" xfId="0" applyNumberFormat="1" applyFont="1" applyFill="1" applyBorder="1" applyAlignment="1">
      <alignment horizontal="right" vertical="center" wrapText="1"/>
    </xf>
    <xf numFmtId="9" fontId="32" fillId="0" borderId="0" xfId="5" applyFont="1" applyFill="1" applyBorder="1" applyAlignment="1">
      <alignment horizontal="right" vertical="center" wrapText="1"/>
    </xf>
    <xf numFmtId="3" fontId="32" fillId="0" borderId="0" xfId="0" applyNumberFormat="1" applyFont="1" applyFill="1" applyAlignment="1">
      <alignment horizontal="right"/>
    </xf>
    <xf numFmtId="3" fontId="42" fillId="0" borderId="0" xfId="0" applyNumberFormat="1" applyFont="1" applyFill="1" applyAlignment="1">
      <alignment horizontal="right" vertical="center"/>
    </xf>
    <xf numFmtId="0" fontId="42" fillId="19" borderId="0" xfId="0" applyFont="1" applyFill="1" applyAlignment="1">
      <alignment horizontal="center" vertical="center" wrapText="1"/>
    </xf>
    <xf numFmtId="2" fontId="42" fillId="0" borderId="0" xfId="7" applyNumberFormat="1" applyFont="1" applyFill="1" applyAlignment="1">
      <alignment horizontal="center" vertical="center" wrapText="1"/>
    </xf>
    <xf numFmtId="2" fontId="32" fillId="0" borderId="0" xfId="0" applyNumberFormat="1" applyFont="1" applyFill="1"/>
    <xf numFmtId="0" fontId="32" fillId="0" borderId="1" xfId="3" applyFont="1" applyFill="1" applyBorder="1" applyAlignment="1">
      <alignment horizontal="left" vertical="center"/>
    </xf>
    <xf numFmtId="3" fontId="32" fillId="0" borderId="1" xfId="0" applyNumberFormat="1" applyFont="1" applyFill="1" applyBorder="1" applyAlignment="1">
      <alignment horizontal="right" vertical="center"/>
    </xf>
    <xf numFmtId="164" fontId="41" fillId="0" borderId="0" xfId="8" applyFont="1" applyFill="1" applyAlignment="1">
      <alignment vertical="center" wrapText="1"/>
    </xf>
    <xf numFmtId="0" fontId="42" fillId="12" borderId="1" xfId="0" applyFont="1" applyFill="1" applyBorder="1" applyAlignment="1">
      <alignment horizontal="left" vertical="center" wrapText="1"/>
    </xf>
    <xf numFmtId="0" fontId="42" fillId="12" borderId="1" xfId="0" applyFont="1" applyFill="1" applyBorder="1" applyAlignment="1">
      <alignment horizontal="left" vertical="center"/>
    </xf>
    <xf numFmtId="0" fontId="42" fillId="12" borderId="1" xfId="0" applyFont="1" applyFill="1" applyBorder="1" applyAlignment="1">
      <alignment horizontal="right" vertical="center"/>
    </xf>
    <xf numFmtId="10" fontId="42" fillId="12" borderId="1" xfId="0" applyNumberFormat="1" applyFont="1" applyFill="1" applyBorder="1" applyAlignment="1">
      <alignment horizontal="right" vertical="center"/>
    </xf>
    <xf numFmtId="10" fontId="42" fillId="12" borderId="1" xfId="0" applyNumberFormat="1" applyFont="1" applyFill="1" applyBorder="1"/>
    <xf numFmtId="49" fontId="42" fillId="12" borderId="1" xfId="5" applyNumberFormat="1" applyFont="1" applyFill="1" applyBorder="1" applyAlignment="1">
      <alignment horizontal="justify" vertical="center"/>
    </xf>
    <xf numFmtId="10" fontId="45" fillId="0" borderId="0" xfId="0" applyNumberFormat="1" applyFont="1" applyFill="1" applyAlignment="1">
      <alignment horizontal="right"/>
    </xf>
    <xf numFmtId="10" fontId="45" fillId="0" borderId="1" xfId="0" applyNumberFormat="1" applyFont="1" applyFill="1" applyBorder="1" applyAlignment="1">
      <alignment horizontal="right"/>
    </xf>
    <xf numFmtId="10" fontId="46" fillId="12" borderId="1" xfId="5" applyNumberFormat="1" applyFont="1" applyFill="1" applyBorder="1" applyAlignment="1">
      <alignment horizontal="right" vertical="center"/>
    </xf>
    <xf numFmtId="10" fontId="32" fillId="0" borderId="1" xfId="0" applyNumberFormat="1" applyFont="1" applyFill="1" applyBorder="1" applyAlignment="1">
      <alignment horizontal="right" vertical="center"/>
    </xf>
    <xf numFmtId="10" fontId="32" fillId="0" borderId="1" xfId="5" applyNumberFormat="1" applyFont="1" applyFill="1" applyBorder="1" applyAlignment="1">
      <alignment horizontal="right" vertical="center"/>
    </xf>
    <xf numFmtId="49" fontId="32" fillId="0" borderId="1" xfId="5" applyNumberFormat="1" applyFont="1" applyFill="1" applyBorder="1" applyAlignment="1">
      <alignment horizontal="justify" vertical="center"/>
    </xf>
    <xf numFmtId="0" fontId="32" fillId="0" borderId="0" xfId="0" applyFont="1" applyFill="1" applyBorder="1" applyAlignment="1">
      <alignment horizontal="left" vertical="center"/>
    </xf>
    <xf numFmtId="3" fontId="32" fillId="0" borderId="0" xfId="0" applyNumberFormat="1" applyFont="1" applyFill="1" applyBorder="1" applyAlignment="1">
      <alignment horizontal="right" vertical="center"/>
    </xf>
    <xf numFmtId="10" fontId="32" fillId="0" borderId="0" xfId="0" applyNumberFormat="1" applyFont="1" applyFill="1" applyBorder="1" applyAlignment="1">
      <alignment horizontal="right" vertical="center"/>
    </xf>
    <xf numFmtId="10" fontId="32" fillId="0" borderId="0" xfId="5" applyNumberFormat="1" applyFont="1" applyFill="1" applyBorder="1" applyAlignment="1">
      <alignment horizontal="right" vertical="center"/>
    </xf>
    <xf numFmtId="9" fontId="39" fillId="0" borderId="0" xfId="7" applyNumberFormat="1" applyFont="1" applyAlignment="1">
      <alignment horizontal="center" vertical="center" wrapText="1"/>
    </xf>
    <xf numFmtId="3" fontId="42" fillId="22" borderId="1" xfId="0" applyNumberFormat="1" applyFont="1" applyFill="1" applyBorder="1" applyAlignment="1">
      <alignment horizontal="right" vertical="center"/>
    </xf>
    <xf numFmtId="3" fontId="42" fillId="0" borderId="1" xfId="0" applyNumberFormat="1" applyFont="1" applyFill="1" applyBorder="1"/>
    <xf numFmtId="3" fontId="42" fillId="0" borderId="0" xfId="0" applyNumberFormat="1" applyFont="1" applyFill="1"/>
    <xf numFmtId="3" fontId="32" fillId="0" borderId="1" xfId="0" applyNumberFormat="1" applyFont="1" applyFill="1" applyBorder="1"/>
    <xf numFmtId="3" fontId="32" fillId="0" borderId="0" xfId="0" applyNumberFormat="1" applyFont="1" applyFill="1"/>
    <xf numFmtId="165" fontId="32" fillId="0" borderId="1" xfId="0" applyNumberFormat="1" applyFont="1" applyFill="1" applyBorder="1" applyAlignment="1">
      <alignment horizontal="left" vertical="center" wrapText="1"/>
    </xf>
    <xf numFmtId="165" fontId="42" fillId="0" borderId="1" xfId="0" applyNumberFormat="1" applyFont="1" applyFill="1" applyBorder="1" applyAlignment="1">
      <alignment horizontal="left" vertical="center"/>
    </xf>
    <xf numFmtId="0" fontId="42" fillId="0" borderId="1" xfId="2" applyFont="1" applyFill="1" applyBorder="1" applyAlignment="1">
      <alignment horizontal="center" vertical="center"/>
    </xf>
    <xf numFmtId="3" fontId="42" fillId="0" borderId="1" xfId="2" applyNumberFormat="1" applyFont="1" applyFill="1" applyBorder="1" applyAlignment="1">
      <alignment horizontal="center" vertical="center"/>
    </xf>
    <xf numFmtId="3" fontId="32" fillId="0" borderId="1" xfId="0" applyNumberFormat="1" applyFont="1" applyFill="1" applyBorder="1" applyAlignment="1">
      <alignment vertical="center"/>
    </xf>
    <xf numFmtId="3" fontId="42" fillId="0" borderId="1" xfId="0" applyNumberFormat="1" applyFont="1" applyFill="1" applyBorder="1" applyAlignment="1">
      <alignment vertical="center"/>
    </xf>
    <xf numFmtId="0" fontId="42" fillId="0" borderId="1" xfId="3" applyFont="1" applyFill="1" applyBorder="1" applyAlignment="1">
      <alignment horizontal="left" vertical="center"/>
    </xf>
    <xf numFmtId="3" fontId="42" fillId="0" borderId="1" xfId="3" applyNumberFormat="1" applyFont="1" applyFill="1" applyBorder="1"/>
    <xf numFmtId="3" fontId="32" fillId="0" borderId="1" xfId="3" applyNumberFormat="1" applyFont="1" applyFill="1" applyBorder="1"/>
    <xf numFmtId="165" fontId="32" fillId="0" borderId="1" xfId="0" applyNumberFormat="1" applyFont="1" applyFill="1" applyBorder="1" applyAlignment="1">
      <alignment horizontal="left" vertical="center"/>
    </xf>
    <xf numFmtId="3" fontId="32" fillId="0" borderId="1" xfId="0" applyNumberFormat="1" applyFont="1" applyFill="1" applyBorder="1" applyAlignment="1">
      <alignment vertical="center" wrapText="1"/>
    </xf>
    <xf numFmtId="165" fontId="32" fillId="0" borderId="1" xfId="0" applyNumberFormat="1" applyFont="1" applyFill="1" applyBorder="1" applyAlignment="1">
      <alignment vertical="center"/>
    </xf>
    <xf numFmtId="3" fontId="32" fillId="0" borderId="1" xfId="0" applyNumberFormat="1" applyFont="1" applyFill="1" applyBorder="1" applyAlignment="1">
      <alignment horizontal="left" vertical="center" wrapText="1"/>
    </xf>
    <xf numFmtId="3" fontId="32" fillId="0" borderId="1" xfId="0" applyNumberFormat="1" applyFont="1" applyFill="1" applyBorder="1" applyAlignment="1">
      <alignment horizontal="left" vertical="center"/>
    </xf>
    <xf numFmtId="49" fontId="42" fillId="0" borderId="1" xfId="0" applyNumberFormat="1" applyFont="1" applyFill="1" applyBorder="1"/>
    <xf numFmtId="49" fontId="42" fillId="0" borderId="1" xfId="0" applyNumberFormat="1" applyFont="1" applyFill="1" applyBorder="1" applyAlignment="1">
      <alignment horizontal="left"/>
    </xf>
    <xf numFmtId="3" fontId="24" fillId="0" borderId="0" xfId="0" applyNumberFormat="1" applyFont="1"/>
    <xf numFmtId="3" fontId="17" fillId="2" borderId="1" xfId="1" applyNumberFormat="1" applyFont="1" applyFill="1" applyBorder="1" applyAlignment="1" applyProtection="1">
      <alignment horizontal="center" vertical="center" wrapText="1"/>
    </xf>
    <xf numFmtId="49" fontId="17" fillId="2" borderId="1" xfId="1" applyNumberFormat="1" applyFont="1" applyFill="1" applyBorder="1" applyAlignment="1" applyProtection="1">
      <alignment horizontal="center" vertical="center" wrapText="1"/>
    </xf>
    <xf numFmtId="165" fontId="17" fillId="2" borderId="1" xfId="1" applyNumberFormat="1" applyFont="1" applyFill="1" applyBorder="1" applyAlignment="1" applyProtection="1">
      <alignment horizontal="center" vertical="center" wrapText="1"/>
    </xf>
    <xf numFmtId="10" fontId="17" fillId="2" borderId="1" xfId="1" applyNumberFormat="1" applyFont="1" applyFill="1" applyBorder="1" applyAlignment="1" applyProtection="1">
      <alignment horizontal="center" vertical="center" wrapText="1"/>
    </xf>
    <xf numFmtId="165" fontId="15" fillId="9" borderId="1" xfId="1" applyNumberFormat="1" applyFont="1" applyFill="1" applyBorder="1" applyAlignment="1" applyProtection="1">
      <alignment horizontal="center" vertical="center" wrapText="1"/>
    </xf>
    <xf numFmtId="3" fontId="15" fillId="9" borderId="1" xfId="1" applyNumberFormat="1" applyFont="1" applyFill="1" applyBorder="1" applyAlignment="1" applyProtection="1">
      <alignment horizontal="center" vertical="center" wrapText="1"/>
    </xf>
    <xf numFmtId="0" fontId="24" fillId="16" borderId="1" xfId="0" applyFont="1" applyFill="1" applyBorder="1" applyProtection="1"/>
    <xf numFmtId="0" fontId="14" fillId="0" borderId="0" xfId="0" applyFont="1" applyAlignment="1" applyProtection="1">
      <alignment horizontal="center" wrapText="1"/>
    </xf>
    <xf numFmtId="0" fontId="17" fillId="2" borderId="1" xfId="1" applyFont="1" applyFill="1" applyBorder="1" applyAlignment="1" applyProtection="1">
      <alignment horizontal="left" vertical="center"/>
    </xf>
    <xf numFmtId="49" fontId="29" fillId="2" borderId="1" xfId="1" applyNumberFormat="1" applyFont="1" applyFill="1" applyBorder="1" applyAlignment="1" applyProtection="1">
      <alignment horizontal="left" vertical="center"/>
    </xf>
    <xf numFmtId="0" fontId="29" fillId="2" borderId="1" xfId="1" applyFont="1" applyFill="1" applyBorder="1" applyAlignment="1" applyProtection="1">
      <alignment horizontal="centerContinuous" vertical="center"/>
    </xf>
    <xf numFmtId="0" fontId="29" fillId="2" borderId="1" xfId="1" applyFont="1" applyFill="1" applyBorder="1" applyAlignment="1" applyProtection="1">
      <alignment horizontal="left" vertical="center"/>
    </xf>
    <xf numFmtId="165" fontId="17" fillId="2" borderId="1" xfId="1" applyNumberFormat="1" applyFont="1" applyFill="1" applyBorder="1" applyAlignment="1" applyProtection="1">
      <alignment horizontal="right" vertical="center"/>
    </xf>
    <xf numFmtId="10" fontId="17" fillId="2" borderId="1" xfId="1" applyNumberFormat="1" applyFont="1" applyFill="1" applyBorder="1" applyAlignment="1" applyProtection="1">
      <alignment horizontal="right" vertical="center"/>
    </xf>
    <xf numFmtId="0" fontId="14" fillId="0" borderId="0" xfId="0" applyFont="1" applyAlignment="1" applyProtection="1"/>
    <xf numFmtId="0" fontId="29" fillId="13" borderId="1" xfId="0" applyFont="1" applyFill="1" applyBorder="1" applyAlignment="1" applyProtection="1">
      <alignment horizontal="left"/>
    </xf>
    <xf numFmtId="49" fontId="29" fillId="13" borderId="1" xfId="1" applyNumberFormat="1" applyFont="1" applyFill="1" applyBorder="1" applyAlignment="1" applyProtection="1">
      <alignment horizontal="left"/>
    </xf>
    <xf numFmtId="0" fontId="29" fillId="13" borderId="1" xfId="1" applyFont="1" applyFill="1" applyBorder="1" applyAlignment="1" applyProtection="1">
      <alignment horizontal="centerContinuous"/>
    </xf>
    <xf numFmtId="49" fontId="29" fillId="13" borderId="1" xfId="0" applyNumberFormat="1" applyFont="1" applyFill="1" applyBorder="1" applyAlignment="1" applyProtection="1">
      <alignment horizontal="left"/>
    </xf>
    <xf numFmtId="165" fontId="29" fillId="13" borderId="1" xfId="1" applyNumberFormat="1" applyFont="1" applyFill="1" applyBorder="1" applyAlignment="1" applyProtection="1">
      <alignment horizontal="right"/>
    </xf>
    <xf numFmtId="10" fontId="29" fillId="13" borderId="1" xfId="1" applyNumberFormat="1" applyFont="1" applyFill="1" applyBorder="1" applyAlignment="1" applyProtection="1">
      <alignment horizontal="right"/>
    </xf>
    <xf numFmtId="0" fontId="30" fillId="13" borderId="0" xfId="0" applyFont="1" applyFill="1" applyAlignment="1" applyProtection="1"/>
    <xf numFmtId="0" fontId="29" fillId="14" borderId="1" xfId="0" applyFont="1" applyFill="1" applyBorder="1" applyAlignment="1" applyProtection="1">
      <alignment horizontal="left"/>
    </xf>
    <xf numFmtId="49" fontId="29" fillId="14" borderId="1" xfId="1" applyNumberFormat="1" applyFont="1" applyFill="1" applyBorder="1" applyAlignment="1" applyProtection="1">
      <alignment horizontal="left"/>
    </xf>
    <xf numFmtId="0" fontId="29" fillId="14" borderId="1" xfId="1" applyFont="1" applyFill="1" applyBorder="1" applyAlignment="1" applyProtection="1">
      <alignment horizontal="left"/>
    </xf>
    <xf numFmtId="49" fontId="29" fillId="14" borderId="1" xfId="0" applyNumberFormat="1" applyFont="1" applyFill="1" applyBorder="1" applyAlignment="1" applyProtection="1">
      <alignment horizontal="left"/>
    </xf>
    <xf numFmtId="165" fontId="29" fillId="14" borderId="1" xfId="1" applyNumberFormat="1" applyFont="1" applyFill="1" applyBorder="1" applyAlignment="1" applyProtection="1">
      <alignment horizontal="right"/>
    </xf>
    <xf numFmtId="10" fontId="29" fillId="14" borderId="1" xfId="1" applyNumberFormat="1" applyFont="1" applyFill="1" applyBorder="1" applyAlignment="1" applyProtection="1">
      <alignment horizontal="right"/>
    </xf>
    <xf numFmtId="0" fontId="30" fillId="14" borderId="0" xfId="0" applyFont="1" applyFill="1" applyAlignment="1" applyProtection="1"/>
    <xf numFmtId="0" fontId="29" fillId="11" borderId="1" xfId="0" applyFont="1" applyFill="1" applyBorder="1" applyAlignment="1" applyProtection="1">
      <alignment horizontal="left"/>
    </xf>
    <xf numFmtId="49" fontId="29" fillId="11" borderId="1" xfId="1" applyNumberFormat="1" applyFont="1" applyFill="1" applyBorder="1" applyAlignment="1" applyProtection="1">
      <alignment horizontal="left"/>
    </xf>
    <xf numFmtId="0" fontId="29" fillId="11" borderId="1" xfId="1" applyFont="1" applyFill="1" applyBorder="1" applyAlignment="1" applyProtection="1">
      <alignment horizontal="left"/>
    </xf>
    <xf numFmtId="49" fontId="29" fillId="11" borderId="1" xfId="0" applyNumberFormat="1" applyFont="1" applyFill="1" applyBorder="1" applyAlignment="1" applyProtection="1">
      <alignment horizontal="left"/>
    </xf>
    <xf numFmtId="165" fontId="29" fillId="11" borderId="1" xfId="1" applyNumberFormat="1" applyFont="1" applyFill="1" applyBorder="1" applyAlignment="1" applyProtection="1">
      <alignment horizontal="right"/>
    </xf>
    <xf numFmtId="10" fontId="29" fillId="11" borderId="1" xfId="1" applyNumberFormat="1" applyFont="1" applyFill="1" applyBorder="1" applyAlignment="1" applyProtection="1">
      <alignment horizontal="right"/>
    </xf>
    <xf numFmtId="0" fontId="30" fillId="11" borderId="0" xfId="0" applyFont="1" applyFill="1" applyAlignment="1" applyProtection="1"/>
    <xf numFmtId="0" fontId="14" fillId="0" borderId="1" xfId="0" applyFont="1" applyFill="1" applyBorder="1" applyAlignment="1" applyProtection="1">
      <alignment horizontal="left"/>
    </xf>
    <xf numFmtId="49" fontId="19" fillId="0" borderId="1" xfId="1" applyNumberFormat="1" applyFont="1" applyBorder="1" applyAlignment="1" applyProtection="1">
      <alignment horizontal="left"/>
    </xf>
    <xf numFmtId="0" fontId="19" fillId="0" borderId="1" xfId="1" applyFont="1" applyBorder="1" applyAlignment="1" applyProtection="1"/>
    <xf numFmtId="49" fontId="14" fillId="0" borderId="1" xfId="0" applyNumberFormat="1" applyFont="1" applyFill="1" applyBorder="1" applyAlignment="1" applyProtection="1">
      <alignment horizontal="left"/>
    </xf>
    <xf numFmtId="165" fontId="19" fillId="0" borderId="1" xfId="1" applyNumberFormat="1" applyFont="1" applyFill="1" applyBorder="1" applyAlignment="1" applyProtection="1">
      <alignment horizontal="right"/>
    </xf>
    <xf numFmtId="165" fontId="19" fillId="0" borderId="1" xfId="1" applyNumberFormat="1" applyFont="1" applyBorder="1" applyAlignment="1" applyProtection="1">
      <alignment horizontal="right"/>
    </xf>
    <xf numFmtId="10" fontId="19" fillId="5" borderId="1" xfId="1" applyNumberFormat="1" applyFont="1" applyFill="1" applyBorder="1" applyAlignment="1" applyProtection="1">
      <alignment horizontal="right"/>
    </xf>
    <xf numFmtId="10" fontId="19" fillId="0" borderId="1" xfId="1" applyNumberFormat="1" applyFont="1" applyFill="1" applyBorder="1" applyAlignment="1" applyProtection="1">
      <alignment horizontal="right"/>
    </xf>
    <xf numFmtId="165" fontId="14" fillId="0" borderId="0" xfId="0" applyNumberFormat="1" applyFont="1" applyAlignment="1" applyProtection="1"/>
    <xf numFmtId="0" fontId="14" fillId="0" borderId="1" xfId="1" applyFont="1" applyBorder="1" applyAlignment="1" applyProtection="1"/>
    <xf numFmtId="49" fontId="30" fillId="11" borderId="1" xfId="1" applyNumberFormat="1" applyFont="1" applyFill="1" applyBorder="1" applyAlignment="1" applyProtection="1">
      <alignment horizontal="left"/>
    </xf>
    <xf numFmtId="0" fontId="30" fillId="11" borderId="1" xfId="1" applyFont="1" applyFill="1" applyBorder="1" applyAlignment="1" applyProtection="1"/>
    <xf numFmtId="0" fontId="30" fillId="11" borderId="1" xfId="0" applyFont="1" applyFill="1" applyBorder="1" applyAlignment="1" applyProtection="1">
      <alignment horizontal="left"/>
    </xf>
    <xf numFmtId="165" fontId="30" fillId="11" borderId="1" xfId="1" applyNumberFormat="1" applyFont="1" applyFill="1" applyBorder="1" applyAlignment="1" applyProtection="1">
      <alignment horizontal="right"/>
    </xf>
    <xf numFmtId="10" fontId="30" fillId="11" borderId="1" xfId="1" applyNumberFormat="1" applyFont="1" applyFill="1" applyBorder="1" applyAlignment="1" applyProtection="1">
      <alignment horizontal="right"/>
    </xf>
    <xf numFmtId="0" fontId="29" fillId="14" borderId="1" xfId="1" applyFont="1" applyFill="1" applyBorder="1" applyAlignment="1" applyProtection="1"/>
    <xf numFmtId="0" fontId="29" fillId="14" borderId="0" xfId="0" applyFont="1" applyFill="1" applyAlignment="1" applyProtection="1"/>
    <xf numFmtId="0" fontId="14" fillId="11" borderId="1" xfId="0" applyFont="1" applyFill="1" applyBorder="1" applyAlignment="1" applyProtection="1">
      <alignment horizontal="left"/>
    </xf>
    <xf numFmtId="0" fontId="29" fillId="13" borderId="1" xfId="1" applyFont="1" applyFill="1" applyBorder="1" applyAlignment="1" applyProtection="1">
      <alignment horizontal="left" vertical="center"/>
    </xf>
    <xf numFmtId="49" fontId="29" fillId="13" borderId="1" xfId="1" applyNumberFormat="1" applyFont="1" applyFill="1" applyBorder="1" applyAlignment="1" applyProtection="1">
      <alignment horizontal="left" vertical="center"/>
    </xf>
    <xf numFmtId="0" fontId="29" fillId="13" borderId="1" xfId="1" applyFont="1" applyFill="1" applyBorder="1" applyAlignment="1" applyProtection="1">
      <alignment horizontal="center" vertical="center"/>
    </xf>
    <xf numFmtId="165" fontId="29" fillId="13" borderId="1" xfId="1" applyNumberFormat="1" applyFont="1" applyFill="1" applyBorder="1" applyAlignment="1" applyProtection="1">
      <alignment horizontal="right" vertical="center"/>
    </xf>
    <xf numFmtId="10" fontId="29" fillId="13" borderId="1" xfId="1" applyNumberFormat="1" applyFont="1" applyFill="1" applyBorder="1" applyAlignment="1" applyProtection="1">
      <alignment horizontal="right" vertical="center"/>
    </xf>
    <xf numFmtId="0" fontId="30" fillId="13" borderId="0" xfId="0" applyFont="1" applyFill="1" applyAlignment="1" applyProtection="1">
      <alignment horizontal="center" vertical="center"/>
    </xf>
    <xf numFmtId="0" fontId="30" fillId="11" borderId="1" xfId="1" applyFont="1" applyFill="1" applyBorder="1" applyAlignment="1" applyProtection="1">
      <alignment horizontal="left"/>
    </xf>
    <xf numFmtId="0" fontId="29" fillId="10" borderId="1" xfId="1" applyFont="1" applyFill="1" applyBorder="1" applyAlignment="1" applyProtection="1">
      <alignment horizontal="left"/>
    </xf>
    <xf numFmtId="49" fontId="30" fillId="10" borderId="1" xfId="1" applyNumberFormat="1" applyFont="1" applyFill="1" applyBorder="1" applyAlignment="1" applyProtection="1">
      <alignment horizontal="left"/>
    </xf>
    <xf numFmtId="0" fontId="30" fillId="10" borderId="1" xfId="1" applyFont="1" applyFill="1" applyBorder="1" applyAlignment="1" applyProtection="1"/>
    <xf numFmtId="0" fontId="30" fillId="10" borderId="1" xfId="1" applyFont="1" applyFill="1" applyBorder="1" applyAlignment="1" applyProtection="1">
      <alignment horizontal="left"/>
    </xf>
    <xf numFmtId="165" fontId="30" fillId="10" borderId="1" xfId="1" applyNumberFormat="1" applyFont="1" applyFill="1" applyBorder="1" applyAlignment="1" applyProtection="1">
      <alignment horizontal="right"/>
    </xf>
    <xf numFmtId="10" fontId="30" fillId="10" borderId="1" xfId="5" applyNumberFormat="1" applyFont="1" applyFill="1" applyBorder="1" applyAlignment="1" applyProtection="1">
      <alignment horizontal="right"/>
    </xf>
    <xf numFmtId="10" fontId="30" fillId="10" borderId="1" xfId="1" applyNumberFormat="1" applyFont="1" applyFill="1" applyBorder="1" applyAlignment="1" applyProtection="1">
      <alignment horizontal="right"/>
    </xf>
    <xf numFmtId="0" fontId="30" fillId="10" borderId="0" xfId="0" applyFont="1" applyFill="1" applyAlignment="1" applyProtection="1"/>
    <xf numFmtId="0" fontId="15" fillId="0" borderId="1" xfId="3" applyFont="1" applyFill="1" applyBorder="1" applyAlignment="1" applyProtection="1">
      <alignment horizontal="left" vertical="center"/>
    </xf>
    <xf numFmtId="49" fontId="19" fillId="0" borderId="1" xfId="1" applyNumberFormat="1" applyFont="1" applyFill="1" applyBorder="1" applyAlignment="1" applyProtection="1">
      <alignment horizontal="left"/>
    </xf>
    <xf numFmtId="0" fontId="19" fillId="0" borderId="1" xfId="1" applyFont="1" applyFill="1" applyBorder="1" applyAlignment="1" applyProtection="1"/>
    <xf numFmtId="0" fontId="14" fillId="24" borderId="1" xfId="0" applyFont="1" applyFill="1" applyBorder="1" applyAlignment="1" applyProtection="1">
      <alignment horizontal="left"/>
    </xf>
    <xf numFmtId="0" fontId="14" fillId="0" borderId="0" xfId="0" applyFont="1" applyFill="1" applyAlignment="1" applyProtection="1"/>
    <xf numFmtId="0" fontId="33" fillId="0" borderId="1" xfId="0" applyFont="1" applyFill="1" applyBorder="1" applyProtection="1"/>
    <xf numFmtId="0" fontId="32" fillId="0" borderId="1" xfId="0" applyFont="1" applyFill="1" applyBorder="1" applyProtection="1"/>
    <xf numFmtId="0" fontId="14" fillId="0" borderId="1" xfId="1" applyFont="1" applyFill="1" applyBorder="1" applyAlignment="1" applyProtection="1"/>
    <xf numFmtId="0" fontId="32" fillId="0" borderId="1" xfId="0" applyFont="1" applyFill="1" applyBorder="1" applyAlignment="1" applyProtection="1">
      <alignment horizontal="left"/>
    </xf>
    <xf numFmtId="49" fontId="29" fillId="10" borderId="1" xfId="1" applyNumberFormat="1" applyFont="1" applyFill="1" applyBorder="1" applyAlignment="1" applyProtection="1">
      <alignment horizontal="left"/>
    </xf>
    <xf numFmtId="0" fontId="29" fillId="10" borderId="1" xfId="1" applyFont="1" applyFill="1" applyBorder="1" applyAlignment="1" applyProtection="1"/>
    <xf numFmtId="165" fontId="29" fillId="10" borderId="1" xfId="1" applyNumberFormat="1" applyFont="1" applyFill="1" applyBorder="1" applyAlignment="1" applyProtection="1">
      <alignment horizontal="right"/>
    </xf>
    <xf numFmtId="0" fontId="29" fillId="10" borderId="0" xfId="0" applyFont="1" applyFill="1" applyAlignment="1" applyProtection="1"/>
    <xf numFmtId="0" fontId="14" fillId="0" borderId="0" xfId="0" applyFont="1" applyAlignment="1" applyProtection="1">
      <alignment horizontal="left"/>
    </xf>
    <xf numFmtId="49" fontId="14" fillId="0" borderId="0" xfId="0" applyNumberFormat="1" applyFont="1" applyAlignment="1" applyProtection="1">
      <alignment horizontal="left"/>
    </xf>
    <xf numFmtId="165" fontId="14" fillId="0" borderId="0" xfId="0" applyNumberFormat="1" applyFont="1" applyAlignment="1" applyProtection="1">
      <alignment horizontal="right"/>
    </xf>
    <xf numFmtId="0" fontId="14" fillId="0" borderId="0" xfId="0" applyFont="1" applyAlignment="1" applyProtection="1">
      <alignment horizontal="right"/>
    </xf>
    <xf numFmtId="10" fontId="14" fillId="0" borderId="0" xfId="0" applyNumberFormat="1" applyFont="1" applyAlignment="1" applyProtection="1">
      <alignment horizontal="right"/>
    </xf>
    <xf numFmtId="0" fontId="19" fillId="0" borderId="1" xfId="1" applyFont="1" applyBorder="1" applyAlignment="1" applyProtection="1">
      <alignment horizontal="right"/>
    </xf>
    <xf numFmtId="0" fontId="19" fillId="0" borderId="1" xfId="1" applyFont="1" applyFill="1" applyBorder="1" applyAlignment="1" applyProtection="1">
      <alignment horizontal="right"/>
    </xf>
    <xf numFmtId="49" fontId="19" fillId="0" borderId="1" xfId="1" applyNumberFormat="1" applyFont="1" applyFill="1" applyBorder="1" applyAlignment="1" applyProtection="1">
      <alignment horizontal="right"/>
    </xf>
    <xf numFmtId="0" fontId="29" fillId="2" borderId="1" xfId="1" applyFont="1" applyFill="1" applyBorder="1" applyAlignment="1" applyProtection="1">
      <alignment horizontal="right" vertical="center"/>
    </xf>
    <xf numFmtId="0" fontId="29" fillId="13" borderId="1" xfId="1" applyFont="1" applyFill="1" applyBorder="1" applyAlignment="1" applyProtection="1">
      <alignment horizontal="right"/>
    </xf>
    <xf numFmtId="0" fontId="29" fillId="14" borderId="1" xfId="1" applyFont="1" applyFill="1" applyBorder="1" applyAlignment="1" applyProtection="1">
      <alignment horizontal="right"/>
    </xf>
    <xf numFmtId="0" fontId="29" fillId="11" borderId="1" xfId="1" applyFont="1" applyFill="1" applyBorder="1" applyAlignment="1" applyProtection="1">
      <alignment horizontal="right"/>
    </xf>
    <xf numFmtId="0" fontId="30" fillId="11" borderId="1" xfId="1" applyFont="1" applyFill="1" applyBorder="1" applyAlignment="1" applyProtection="1">
      <alignment horizontal="right"/>
    </xf>
    <xf numFmtId="0" fontId="29" fillId="13" borderId="1" xfId="1" applyFont="1" applyFill="1" applyBorder="1" applyAlignment="1" applyProtection="1">
      <alignment horizontal="right" vertical="center"/>
    </xf>
    <xf numFmtId="0" fontId="30" fillId="10" borderId="1" xfId="1" applyFont="1" applyFill="1" applyBorder="1" applyAlignment="1" applyProtection="1">
      <alignment horizontal="right"/>
    </xf>
    <xf numFmtId="0" fontId="29" fillId="10" borderId="1" xfId="1" applyFont="1" applyFill="1" applyBorder="1" applyAlignment="1" applyProtection="1">
      <alignment horizontal="right"/>
    </xf>
    <xf numFmtId="3" fontId="0" fillId="26" borderId="0" xfId="0" applyNumberFormat="1" applyFill="1"/>
    <xf numFmtId="0" fontId="13" fillId="27" borderId="0" xfId="0" applyFont="1" applyFill="1"/>
    <xf numFmtId="0" fontId="24" fillId="28" borderId="1" xfId="0" applyFont="1" applyFill="1" applyBorder="1" applyAlignment="1">
      <alignment wrapText="1"/>
    </xf>
    <xf numFmtId="0" fontId="24" fillId="28" borderId="1" xfId="0" applyFont="1" applyFill="1" applyBorder="1"/>
    <xf numFmtId="3" fontId="24" fillId="28" borderId="1" xfId="0" applyNumberFormat="1" applyFont="1" applyFill="1" applyBorder="1"/>
    <xf numFmtId="9" fontId="24" fillId="28" borderId="1" xfId="0" applyNumberFormat="1" applyFont="1" applyFill="1" applyBorder="1"/>
    <xf numFmtId="0" fontId="24" fillId="28" borderId="0" xfId="0" applyFont="1" applyFill="1"/>
    <xf numFmtId="0" fontId="24" fillId="29" borderId="1" xfId="0" applyFont="1" applyFill="1" applyBorder="1" applyAlignment="1">
      <alignment wrapText="1"/>
    </xf>
    <xf numFmtId="0" fontId="42" fillId="29" borderId="1" xfId="0" applyFont="1" applyFill="1" applyBorder="1" applyAlignment="1">
      <alignment horizontal="left"/>
    </xf>
    <xf numFmtId="0" fontId="42" fillId="29" borderId="1" xfId="0" applyFont="1" applyFill="1" applyBorder="1" applyAlignment="1">
      <alignment wrapText="1"/>
    </xf>
    <xf numFmtId="3" fontId="24" fillId="29" borderId="1" xfId="0" applyNumberFormat="1" applyFont="1" applyFill="1" applyBorder="1"/>
    <xf numFmtId="9" fontId="24" fillId="29" borderId="1" xfId="0" applyNumberFormat="1" applyFont="1" applyFill="1" applyBorder="1"/>
    <xf numFmtId="0" fontId="24" fillId="29" borderId="0" xfId="0" applyFont="1" applyFill="1"/>
    <xf numFmtId="0" fontId="0" fillId="0" borderId="1" xfId="0" applyBorder="1" applyAlignment="1">
      <alignment wrapText="1"/>
    </xf>
    <xf numFmtId="0" fontId="32" fillId="0" borderId="1" xfId="0" applyFont="1" applyBorder="1" applyAlignment="1">
      <alignment horizontal="left"/>
    </xf>
    <xf numFmtId="0" fontId="32" fillId="0" borderId="1" xfId="0" applyFont="1" applyBorder="1" applyAlignment="1">
      <alignment wrapText="1"/>
    </xf>
    <xf numFmtId="9" fontId="0" fillId="0" borderId="1" xfId="0" applyNumberFormat="1" applyBorder="1"/>
    <xf numFmtId="0" fontId="13" fillId="0" borderId="0" xfId="0" applyFont="1"/>
    <xf numFmtId="0" fontId="52" fillId="29" borderId="1" xfId="0" applyFont="1" applyFill="1" applyBorder="1" applyAlignment="1">
      <alignment wrapText="1"/>
    </xf>
    <xf numFmtId="9" fontId="52" fillId="29" borderId="1" xfId="0" applyNumberFormat="1" applyFont="1" applyFill="1" applyBorder="1"/>
    <xf numFmtId="49" fontId="32" fillId="0" borderId="1" xfId="0" applyNumberFormat="1" applyFont="1" applyBorder="1" applyAlignment="1">
      <alignment horizontal="left"/>
    </xf>
    <xf numFmtId="0" fontId="32" fillId="0" borderId="1" xfId="16" applyFont="1" applyBorder="1" applyAlignment="1">
      <alignment horizontal="left" vertical="center" wrapText="1"/>
    </xf>
    <xf numFmtId="49" fontId="13" fillId="0" borderId="1" xfId="0" applyNumberFormat="1" applyFont="1" applyBorder="1" applyAlignment="1">
      <alignment horizontal="left"/>
    </xf>
    <xf numFmtId="0" fontId="0" fillId="0" borderId="0" xfId="0" applyAlignment="1">
      <alignment wrapText="1"/>
    </xf>
    <xf numFmtId="9" fontId="0" fillId="0" borderId="0" xfId="0" applyNumberFormat="1"/>
    <xf numFmtId="0" fontId="0" fillId="0" borderId="0" xfId="0" applyAlignment="1">
      <alignment horizontal="left" wrapText="1"/>
    </xf>
    <xf numFmtId="0" fontId="0" fillId="0" borderId="0" xfId="0" applyAlignment="1">
      <alignment horizontal="left"/>
    </xf>
    <xf numFmtId="0" fontId="43" fillId="0" borderId="0" xfId="0" applyFont="1"/>
    <xf numFmtId="0" fontId="13" fillId="0" borderId="0" xfId="4" applyAlignment="1">
      <alignment vertical="center" wrapText="1"/>
    </xf>
    <xf numFmtId="0" fontId="41" fillId="0" borderId="0" xfId="4" applyFont="1" applyAlignment="1">
      <alignment vertical="center" wrapText="1"/>
    </xf>
    <xf numFmtId="169" fontId="40" fillId="17" borderId="21" xfId="4" applyNumberFormat="1" applyFont="1" applyFill="1" applyBorder="1" applyAlignment="1">
      <alignment horizontal="center" vertical="center" wrapText="1"/>
    </xf>
    <xf numFmtId="169" fontId="40" fillId="17" borderId="1" xfId="4" applyNumberFormat="1" applyFont="1" applyFill="1" applyBorder="1" applyAlignment="1">
      <alignment horizontal="center" vertical="center" wrapText="1"/>
    </xf>
    <xf numFmtId="169" fontId="40" fillId="17" borderId="22" xfId="4" applyNumberFormat="1" applyFont="1" applyFill="1" applyBorder="1" applyAlignment="1">
      <alignment horizontal="center" vertical="center" wrapText="1"/>
    </xf>
    <xf numFmtId="169" fontId="40" fillId="17" borderId="23" xfId="4" applyNumberFormat="1" applyFont="1" applyFill="1" applyBorder="1" applyAlignment="1">
      <alignment horizontal="center" vertical="center" wrapText="1"/>
    </xf>
    <xf numFmtId="169" fontId="40" fillId="17" borderId="10" xfId="4" applyNumberFormat="1" applyFont="1" applyFill="1" applyBorder="1" applyAlignment="1">
      <alignment horizontal="center" vertical="center" wrapText="1"/>
    </xf>
    <xf numFmtId="169" fontId="40" fillId="17" borderId="11" xfId="4" applyNumberFormat="1" applyFont="1" applyFill="1" applyBorder="1" applyAlignment="1">
      <alignment horizontal="center" vertical="center" wrapText="1"/>
    </xf>
    <xf numFmtId="9" fontId="40" fillId="17" borderId="12" xfId="4" applyNumberFormat="1" applyFont="1" applyFill="1" applyBorder="1" applyAlignment="1">
      <alignment horizontal="center" vertical="center" wrapText="1"/>
    </xf>
    <xf numFmtId="0" fontId="40" fillId="12" borderId="17" xfId="4" applyFont="1" applyFill="1" applyBorder="1" applyAlignment="1">
      <alignment horizontal="left" vertical="center" wrapText="1"/>
    </xf>
    <xf numFmtId="169" fontId="40" fillId="12" borderId="21" xfId="4" applyNumberFormat="1" applyFont="1" applyFill="1" applyBorder="1" applyAlignment="1">
      <alignment horizontal="center" vertical="center" wrapText="1"/>
    </xf>
    <xf numFmtId="169" fontId="40" fillId="12" borderId="1" xfId="4" applyNumberFormat="1" applyFont="1" applyFill="1" applyBorder="1" applyAlignment="1">
      <alignment horizontal="center" vertical="center" wrapText="1"/>
    </xf>
    <xf numFmtId="169" fontId="40" fillId="12" borderId="40" xfId="4" applyNumberFormat="1" applyFont="1" applyFill="1" applyBorder="1" applyAlignment="1">
      <alignment horizontal="center" vertical="center" wrapText="1"/>
    </xf>
    <xf numFmtId="169" fontId="40" fillId="12" borderId="58" xfId="4" applyNumberFormat="1" applyFont="1" applyFill="1" applyBorder="1" applyAlignment="1">
      <alignment horizontal="center" vertical="center" wrapText="1"/>
    </xf>
    <xf numFmtId="169" fontId="40" fillId="12" borderId="9" xfId="4" applyNumberFormat="1" applyFont="1" applyFill="1" applyBorder="1" applyAlignment="1">
      <alignment horizontal="center" vertical="center" wrapText="1"/>
    </xf>
    <xf numFmtId="49" fontId="40" fillId="12" borderId="8" xfId="4" applyNumberFormat="1" applyFont="1" applyFill="1" applyBorder="1" applyAlignment="1">
      <alignment horizontal="center" vertical="center" wrapText="1"/>
    </xf>
    <xf numFmtId="0" fontId="40" fillId="0" borderId="56" xfId="4" applyFont="1" applyBorder="1" applyAlignment="1">
      <alignment horizontal="left" vertical="center" wrapText="1"/>
    </xf>
    <xf numFmtId="169" fontId="40" fillId="0" borderId="21" xfId="4" applyNumberFormat="1" applyFont="1" applyBorder="1" applyAlignment="1">
      <alignment horizontal="center" vertical="center" wrapText="1"/>
    </xf>
    <xf numFmtId="169" fontId="40" fillId="0" borderId="1" xfId="4" applyNumberFormat="1" applyFont="1" applyBorder="1" applyAlignment="1">
      <alignment horizontal="center" vertical="center" wrapText="1"/>
    </xf>
    <xf numFmtId="169" fontId="40" fillId="0" borderId="22" xfId="4" applyNumberFormat="1" applyFont="1" applyBorder="1" applyAlignment="1">
      <alignment horizontal="center" vertical="center" wrapText="1"/>
    </xf>
    <xf numFmtId="169" fontId="40" fillId="0" borderId="49" xfId="4" applyNumberFormat="1" applyFont="1" applyBorder="1" applyAlignment="1">
      <alignment horizontal="center" vertical="center" wrapText="1"/>
    </xf>
    <xf numFmtId="169" fontId="40" fillId="0" borderId="48" xfId="4" applyNumberFormat="1" applyFont="1" applyBorder="1" applyAlignment="1">
      <alignment horizontal="center" vertical="center" wrapText="1"/>
    </xf>
    <xf numFmtId="169" fontId="40" fillId="0" borderId="34" xfId="4" applyNumberFormat="1" applyFont="1" applyBorder="1" applyAlignment="1">
      <alignment horizontal="center" vertical="center" wrapText="1"/>
    </xf>
    <xf numFmtId="169" fontId="40" fillId="0" borderId="54" xfId="4" applyNumberFormat="1" applyFont="1" applyBorder="1" applyAlignment="1">
      <alignment horizontal="center" vertical="center" wrapText="1"/>
    </xf>
    <xf numFmtId="49" fontId="40" fillId="0" borderId="53" xfId="4" applyNumberFormat="1" applyFont="1" applyBorder="1" applyAlignment="1">
      <alignment horizontal="center" vertical="center" wrapText="1"/>
    </xf>
    <xf numFmtId="0" fontId="40" fillId="12" borderId="35" xfId="4" applyFont="1" applyFill="1" applyBorder="1" applyAlignment="1">
      <alignment horizontal="left" vertical="center" wrapText="1"/>
    </xf>
    <xf numFmtId="169" fontId="40" fillId="12" borderId="18" xfId="4" applyNumberFormat="1" applyFont="1" applyFill="1" applyBorder="1" applyAlignment="1">
      <alignment vertical="center" wrapText="1"/>
    </xf>
    <xf numFmtId="169" fontId="40" fillId="12" borderId="5" xfId="4" applyNumberFormat="1" applyFont="1" applyFill="1" applyBorder="1" applyAlignment="1">
      <alignment vertical="center" wrapText="1"/>
    </xf>
    <xf numFmtId="0" fontId="40" fillId="0" borderId="0" xfId="4" applyFont="1" applyAlignment="1">
      <alignment vertical="center" wrapText="1"/>
    </xf>
    <xf numFmtId="0" fontId="41" fillId="0" borderId="37" xfId="4" applyFont="1" applyBorder="1" applyAlignment="1">
      <alignment horizontal="left" vertical="center" wrapText="1"/>
    </xf>
    <xf numFmtId="166" fontId="41" fillId="0" borderId="1" xfId="4" applyNumberFormat="1" applyFont="1" applyBorder="1" applyAlignment="1">
      <alignment vertical="center" wrapText="1"/>
    </xf>
    <xf numFmtId="166" fontId="41" fillId="0" borderId="21" xfId="4" applyNumberFormat="1" applyFont="1" applyBorder="1" applyAlignment="1">
      <alignment vertical="center" wrapText="1"/>
    </xf>
    <xf numFmtId="0" fontId="41" fillId="21" borderId="0" xfId="4" applyFont="1" applyFill="1" applyAlignment="1">
      <alignment vertical="center" wrapText="1"/>
    </xf>
    <xf numFmtId="0" fontId="41" fillId="0" borderId="37" xfId="4" applyFont="1" applyBorder="1" applyAlignment="1">
      <alignment horizontal="left" vertical="center"/>
    </xf>
    <xf numFmtId="166" fontId="41" fillId="0" borderId="1" xfId="4" applyNumberFormat="1" applyFont="1" applyBorder="1" applyAlignment="1">
      <alignment vertical="center"/>
    </xf>
    <xf numFmtId="166" fontId="41" fillId="0" borderId="21" xfId="4" applyNumberFormat="1" applyFont="1" applyBorder="1" applyAlignment="1">
      <alignment vertical="center"/>
    </xf>
    <xf numFmtId="0" fontId="41" fillId="21" borderId="0" xfId="4" applyFont="1" applyFill="1" applyAlignment="1">
      <alignment vertical="center"/>
    </xf>
    <xf numFmtId="0" fontId="40" fillId="12" borderId="37" xfId="4" applyFont="1" applyFill="1" applyBorder="1" applyAlignment="1">
      <alignment horizontal="left" vertical="center" wrapText="1"/>
    </xf>
    <xf numFmtId="169" fontId="40" fillId="12" borderId="21" xfId="4" applyNumberFormat="1" applyFont="1" applyFill="1" applyBorder="1" applyAlignment="1">
      <alignment vertical="center" wrapText="1"/>
    </xf>
    <xf numFmtId="169" fontId="40" fillId="12" borderId="1" xfId="4" applyNumberFormat="1" applyFont="1" applyFill="1" applyBorder="1" applyAlignment="1">
      <alignment vertical="center" wrapText="1"/>
    </xf>
    <xf numFmtId="169" fontId="40" fillId="12" borderId="2" xfId="4" applyNumberFormat="1" applyFont="1" applyFill="1" applyBorder="1" applyAlignment="1">
      <alignment vertical="center" wrapText="1"/>
    </xf>
    <xf numFmtId="166" fontId="41" fillId="0" borderId="2" xfId="4" applyNumberFormat="1" applyFont="1" applyBorder="1" applyAlignment="1">
      <alignment vertical="center" wrapText="1"/>
    </xf>
    <xf numFmtId="0" fontId="40" fillId="21" borderId="0" xfId="4" applyFont="1" applyFill="1" applyAlignment="1">
      <alignment vertical="center" wrapText="1"/>
    </xf>
    <xf numFmtId="166" fontId="40" fillId="12" borderId="21" xfId="4" applyNumberFormat="1" applyFont="1" applyFill="1" applyBorder="1" applyAlignment="1">
      <alignment vertical="center" wrapText="1"/>
    </xf>
    <xf numFmtId="166" fontId="40" fillId="12" borderId="2" xfId="4" applyNumberFormat="1" applyFont="1" applyFill="1" applyBorder="1" applyAlignment="1">
      <alignment vertical="center" wrapText="1"/>
    </xf>
    <xf numFmtId="166" fontId="40" fillId="12" borderId="1" xfId="4" applyNumberFormat="1" applyFont="1" applyFill="1" applyBorder="1" applyAlignment="1">
      <alignment vertical="center" wrapText="1"/>
    </xf>
    <xf numFmtId="166" fontId="41" fillId="0" borderId="49" xfId="4" applyNumberFormat="1" applyFont="1" applyBorder="1" applyAlignment="1">
      <alignment vertical="center" wrapText="1"/>
    </xf>
    <xf numFmtId="166" fontId="41" fillId="0" borderId="48" xfId="4" applyNumberFormat="1" applyFont="1" applyBorder="1" applyAlignment="1">
      <alignment vertical="center" wrapText="1"/>
    </xf>
    <xf numFmtId="166" fontId="41" fillId="0" borderId="34" xfId="4" applyNumberFormat="1" applyFont="1" applyBorder="1" applyAlignment="1">
      <alignment vertical="center" wrapText="1"/>
    </xf>
    <xf numFmtId="0" fontId="41" fillId="0" borderId="50" xfId="4" applyFont="1" applyBorder="1" applyAlignment="1">
      <alignment horizontal="left" vertical="center" wrapText="1"/>
    </xf>
    <xf numFmtId="0" fontId="40" fillId="12" borderId="26" xfId="4" applyFont="1" applyFill="1" applyBorder="1" applyAlignment="1">
      <alignment horizontal="left" vertical="center" wrapText="1"/>
    </xf>
    <xf numFmtId="169" fontId="40" fillId="12" borderId="29" xfId="4" applyNumberFormat="1" applyFont="1" applyFill="1" applyBorder="1" applyAlignment="1">
      <alignment vertical="center" wrapText="1"/>
    </xf>
    <xf numFmtId="169" fontId="40" fillId="12" borderId="30" xfId="4" applyNumberFormat="1" applyFont="1" applyFill="1" applyBorder="1" applyAlignment="1">
      <alignment vertical="center" wrapText="1"/>
    </xf>
    <xf numFmtId="169" fontId="40" fillId="12" borderId="32" xfId="4" applyNumberFormat="1" applyFont="1" applyFill="1" applyBorder="1" applyAlignment="1">
      <alignment vertical="center" wrapText="1"/>
    </xf>
    <xf numFmtId="169" fontId="40" fillId="12" borderId="10" xfId="4" applyNumberFormat="1" applyFont="1" applyFill="1" applyBorder="1" applyAlignment="1">
      <alignment vertical="center" wrapText="1"/>
    </xf>
    <xf numFmtId="9" fontId="41" fillId="0" borderId="0" xfId="4" applyNumberFormat="1" applyFont="1" applyAlignment="1">
      <alignment vertical="center" wrapText="1"/>
    </xf>
    <xf numFmtId="49" fontId="41" fillId="0" borderId="0" xfId="4" applyNumberFormat="1" applyFont="1" applyAlignment="1">
      <alignment horizontal="justify" vertical="center" wrapText="1"/>
    </xf>
    <xf numFmtId="166" fontId="40" fillId="12" borderId="5" xfId="4" applyNumberFormat="1" applyFont="1" applyFill="1" applyBorder="1" applyAlignment="1">
      <alignment horizontal="center" vertical="center" wrapText="1"/>
    </xf>
    <xf numFmtId="166" fontId="40" fillId="12" borderId="6" xfId="4" applyNumberFormat="1" applyFont="1" applyFill="1" applyBorder="1" applyAlignment="1">
      <alignment horizontal="center" vertical="center" wrapText="1"/>
    </xf>
    <xf numFmtId="169" fontId="40" fillId="12" borderId="36" xfId="4" applyNumberFormat="1" applyFont="1" applyFill="1" applyBorder="1" applyAlignment="1">
      <alignment horizontal="center" vertical="center" wrapText="1"/>
    </xf>
    <xf numFmtId="49" fontId="40" fillId="12" borderId="36" xfId="4" applyNumberFormat="1" applyFont="1" applyFill="1" applyBorder="1" applyAlignment="1">
      <alignment horizontal="justify" vertical="center" wrapText="1"/>
    </xf>
    <xf numFmtId="0" fontId="40" fillId="0" borderId="37" xfId="4" applyFont="1" applyBorder="1" applyAlignment="1">
      <alignment horizontal="left" vertical="center" wrapText="1"/>
    </xf>
    <xf numFmtId="170" fontId="40" fillId="0" borderId="21" xfId="4" applyNumberFormat="1" applyFont="1" applyBorder="1" applyAlignment="1">
      <alignment horizontal="center" vertical="center" wrapText="1"/>
    </xf>
    <xf numFmtId="170" fontId="40" fillId="0" borderId="1" xfId="4" applyNumberFormat="1" applyFont="1" applyBorder="1" applyAlignment="1">
      <alignment horizontal="center" vertical="center" wrapText="1"/>
    </xf>
    <xf numFmtId="166" fontId="40" fillId="0" borderId="21" xfId="4" applyNumberFormat="1" applyFont="1" applyBorder="1" applyAlignment="1">
      <alignment horizontal="center" vertical="center" wrapText="1"/>
    </xf>
    <xf numFmtId="166" fontId="40" fillId="0" borderId="1" xfId="4" applyNumberFormat="1" applyFont="1" applyBorder="1" applyAlignment="1">
      <alignment horizontal="center" vertical="center" wrapText="1"/>
    </xf>
    <xf numFmtId="49" fontId="40" fillId="0" borderId="46" xfId="4" applyNumberFormat="1" applyFont="1" applyBorder="1" applyAlignment="1">
      <alignment horizontal="justify" vertical="center" wrapText="1"/>
    </xf>
    <xf numFmtId="0" fontId="41" fillId="12" borderId="37" xfId="4" applyFont="1" applyFill="1" applyBorder="1" applyAlignment="1">
      <alignment horizontal="left" vertical="center" wrapText="1"/>
    </xf>
    <xf numFmtId="166" fontId="41" fillId="12" borderId="21" xfId="4" applyNumberFormat="1" applyFont="1" applyFill="1" applyBorder="1" applyAlignment="1">
      <alignment vertical="center" wrapText="1"/>
    </xf>
    <xf numFmtId="170" fontId="41" fillId="0" borderId="21" xfId="4" applyNumberFormat="1" applyFont="1" applyBorder="1" applyAlignment="1">
      <alignment vertical="center" wrapText="1"/>
    </xf>
    <xf numFmtId="170" fontId="41" fillId="0" borderId="1" xfId="4" applyNumberFormat="1" applyFont="1" applyBorder="1" applyAlignment="1">
      <alignment vertical="center" wrapText="1"/>
    </xf>
    <xf numFmtId="166" fontId="41" fillId="12" borderId="1" xfId="4" applyNumberFormat="1" applyFont="1" applyFill="1" applyBorder="1" applyAlignment="1">
      <alignment vertical="center" wrapText="1"/>
    </xf>
    <xf numFmtId="0" fontId="40" fillId="12" borderId="38" xfId="4" applyFont="1" applyFill="1" applyBorder="1" applyAlignment="1">
      <alignment horizontal="left" vertical="center" wrapText="1"/>
    </xf>
    <xf numFmtId="166" fontId="40" fillId="12" borderId="29" xfId="4" applyNumberFormat="1" applyFont="1" applyFill="1" applyBorder="1" applyAlignment="1">
      <alignment vertical="center" wrapText="1"/>
    </xf>
    <xf numFmtId="166" fontId="40" fillId="12" borderId="30" xfId="4" applyNumberFormat="1" applyFont="1" applyFill="1" applyBorder="1" applyAlignment="1">
      <alignment vertical="center" wrapText="1"/>
    </xf>
    <xf numFmtId="0" fontId="40" fillId="12" borderId="13" xfId="4" applyFont="1" applyFill="1" applyBorder="1" applyAlignment="1">
      <alignment horizontal="left" vertical="center" wrapText="1"/>
    </xf>
    <xf numFmtId="169" fontId="40" fillId="12" borderId="45" xfId="4" applyNumberFormat="1" applyFont="1" applyFill="1" applyBorder="1" applyAlignment="1">
      <alignment horizontal="center" vertical="center" wrapText="1"/>
    </xf>
    <xf numFmtId="169" fontId="40" fillId="12" borderId="44" xfId="4" applyNumberFormat="1" applyFont="1" applyFill="1" applyBorder="1" applyAlignment="1">
      <alignment horizontal="center" vertical="center" wrapText="1"/>
    </xf>
    <xf numFmtId="169" fontId="40" fillId="12" borderId="43" xfId="4" applyNumberFormat="1" applyFont="1" applyFill="1" applyBorder="1" applyAlignment="1">
      <alignment horizontal="center" vertical="center" wrapText="1"/>
    </xf>
    <xf numFmtId="169" fontId="40" fillId="12" borderId="19" xfId="4" applyNumberFormat="1" applyFont="1" applyFill="1" applyBorder="1" applyAlignment="1">
      <alignment horizontal="center" vertical="center" wrapText="1"/>
    </xf>
    <xf numFmtId="169" fontId="40" fillId="12" borderId="6" xfId="4" applyNumberFormat="1" applyFont="1" applyFill="1" applyBorder="1" applyAlignment="1">
      <alignment horizontal="center" vertical="center" wrapText="1"/>
    </xf>
    <xf numFmtId="9" fontId="40" fillId="12" borderId="43" xfId="4" applyNumberFormat="1" applyFont="1" applyFill="1" applyBorder="1" applyAlignment="1">
      <alignment horizontal="center" vertical="center" wrapText="1"/>
    </xf>
    <xf numFmtId="49" fontId="40" fillId="12" borderId="19" xfId="4" applyNumberFormat="1" applyFont="1" applyFill="1" applyBorder="1" applyAlignment="1">
      <alignment horizontal="justify" vertical="center" wrapText="1"/>
    </xf>
    <xf numFmtId="166" fontId="41" fillId="0" borderId="41" xfId="4" applyNumberFormat="1" applyFont="1" applyBorder="1" applyAlignment="1">
      <alignment horizontal="left" vertical="center"/>
    </xf>
    <xf numFmtId="166" fontId="41" fillId="0" borderId="37" xfId="4" applyNumberFormat="1" applyFont="1" applyBorder="1" applyAlignment="1">
      <alignment vertical="center"/>
    </xf>
    <xf numFmtId="165" fontId="22" fillId="0" borderId="0" xfId="4" applyNumberFormat="1" applyFont="1" applyAlignment="1">
      <alignment vertical="center"/>
    </xf>
    <xf numFmtId="0" fontId="41" fillId="0" borderId="0" xfId="4" applyFont="1" applyAlignment="1">
      <alignment vertical="center"/>
    </xf>
    <xf numFmtId="166" fontId="41" fillId="0" borderId="41" xfId="4" applyNumberFormat="1" applyFont="1" applyBorder="1" applyAlignment="1">
      <alignment vertical="center"/>
    </xf>
    <xf numFmtId="166" fontId="41" fillId="0" borderId="42" xfId="4" applyNumberFormat="1" applyFont="1" applyBorder="1" applyAlignment="1">
      <alignment vertical="center"/>
    </xf>
    <xf numFmtId="166" fontId="41" fillId="0" borderId="38" xfId="4" applyNumberFormat="1" applyFont="1" applyBorder="1" applyAlignment="1">
      <alignment vertical="center"/>
    </xf>
    <xf numFmtId="166" fontId="41" fillId="0" borderId="30" xfId="4" applyNumberFormat="1" applyFont="1" applyBorder="1" applyAlignment="1">
      <alignment vertical="center" wrapText="1"/>
    </xf>
    <xf numFmtId="166" fontId="41" fillId="0" borderId="30" xfId="4" applyNumberFormat="1" applyFont="1" applyBorder="1" applyAlignment="1">
      <alignment vertical="center"/>
    </xf>
    <xf numFmtId="49" fontId="41" fillId="0" borderId="0" xfId="4" applyNumberFormat="1" applyFont="1" applyAlignment="1">
      <alignment vertical="center" wrapText="1"/>
    </xf>
    <xf numFmtId="166" fontId="40" fillId="12" borderId="27" xfId="4" applyNumberFormat="1" applyFont="1" applyFill="1" applyBorder="1" applyAlignment="1">
      <alignment vertical="center" wrapText="1"/>
    </xf>
    <xf numFmtId="0" fontId="40" fillId="0" borderId="0" xfId="4" applyFont="1" applyAlignment="1">
      <alignment horizontal="left" vertical="center" wrapText="1"/>
    </xf>
    <xf numFmtId="166" fontId="40" fillId="0" borderId="0" xfId="4" applyNumberFormat="1" applyFont="1" applyAlignment="1">
      <alignment vertical="center" wrapText="1"/>
    </xf>
    <xf numFmtId="169" fontId="40" fillId="0" borderId="0" xfId="4" applyNumberFormat="1" applyFont="1" applyAlignment="1">
      <alignment vertical="center" wrapText="1"/>
    </xf>
    <xf numFmtId="166" fontId="40" fillId="12" borderId="10" xfId="4" applyNumberFormat="1" applyFont="1" applyFill="1" applyBorder="1" applyAlignment="1">
      <alignment vertical="center" wrapText="1"/>
    </xf>
    <xf numFmtId="166" fontId="49" fillId="0" borderId="0" xfId="4" applyNumberFormat="1" applyFont="1" applyAlignment="1">
      <alignment vertical="center" wrapText="1"/>
    </xf>
    <xf numFmtId="169" fontId="41" fillId="0" borderId="0" xfId="4" applyNumberFormat="1" applyFont="1" applyAlignment="1">
      <alignment vertical="center" wrapText="1"/>
    </xf>
    <xf numFmtId="165" fontId="41" fillId="0" borderId="0" xfId="4" applyNumberFormat="1" applyFont="1" applyAlignment="1">
      <alignment vertical="center" wrapText="1"/>
    </xf>
    <xf numFmtId="171" fontId="41" fillId="0" borderId="0" xfId="4" applyNumberFormat="1" applyFont="1" applyAlignment="1">
      <alignment vertical="center" wrapText="1"/>
    </xf>
    <xf numFmtId="166" fontId="41" fillId="0" borderId="0" xfId="4" applyNumberFormat="1" applyFont="1" applyAlignment="1">
      <alignment vertical="center" wrapText="1"/>
    </xf>
    <xf numFmtId="0" fontId="40" fillId="0" borderId="0" xfId="4" applyFont="1" applyAlignment="1">
      <alignment vertical="center"/>
    </xf>
    <xf numFmtId="0" fontId="41" fillId="0" borderId="0" xfId="4" applyFont="1" applyAlignment="1">
      <alignment horizontal="left" vertical="center"/>
    </xf>
    <xf numFmtId="0" fontId="41" fillId="0" borderId="0" xfId="4" applyFont="1" applyAlignment="1">
      <alignment horizontal="left" vertical="center" wrapText="1"/>
    </xf>
    <xf numFmtId="9" fontId="13" fillId="0" borderId="0" xfId="4" applyNumberFormat="1" applyAlignment="1">
      <alignment vertical="center" wrapText="1"/>
    </xf>
    <xf numFmtId="49" fontId="13" fillId="0" borderId="0" xfId="4" applyNumberFormat="1" applyAlignment="1">
      <alignment vertical="center" wrapText="1"/>
    </xf>
    <xf numFmtId="0" fontId="13" fillId="20" borderId="0" xfId="4" applyFill="1" applyAlignment="1">
      <alignment vertical="center" wrapText="1"/>
    </xf>
    <xf numFmtId="0" fontId="55" fillId="11" borderId="1" xfId="1" applyFont="1" applyFill="1" applyBorder="1" applyAlignment="1" applyProtection="1">
      <alignment horizontal="right"/>
    </xf>
    <xf numFmtId="166" fontId="41" fillId="21" borderId="21" xfId="4" applyNumberFormat="1" applyFont="1" applyFill="1" applyBorder="1" applyAlignment="1">
      <alignment vertical="center" wrapText="1"/>
    </xf>
    <xf numFmtId="9" fontId="40" fillId="12" borderId="22" xfId="20" applyFont="1" applyFill="1" applyBorder="1" applyAlignment="1">
      <alignment horizontal="center" vertical="center" wrapText="1"/>
    </xf>
    <xf numFmtId="9" fontId="40" fillId="12" borderId="57" xfId="20" applyFont="1" applyFill="1" applyBorder="1" applyAlignment="1">
      <alignment horizontal="center" vertical="center" wrapText="1"/>
    </xf>
    <xf numFmtId="9" fontId="40" fillId="12" borderId="46" xfId="20" applyFont="1" applyFill="1" applyBorder="1" applyAlignment="1">
      <alignment horizontal="center" vertical="center" wrapText="1"/>
    </xf>
    <xf numFmtId="9" fontId="40" fillId="0" borderId="55" xfId="20" applyFont="1" applyFill="1" applyBorder="1" applyAlignment="1">
      <alignment horizontal="center" vertical="center" wrapText="1"/>
    </xf>
    <xf numFmtId="9" fontId="40" fillId="12" borderId="7" xfId="20" applyFont="1" applyFill="1" applyBorder="1" applyAlignment="1">
      <alignment horizontal="center" vertical="center" wrapText="1"/>
    </xf>
    <xf numFmtId="9" fontId="40" fillId="12" borderId="36" xfId="20" applyFont="1" applyFill="1" applyBorder="1" applyAlignment="1">
      <alignment horizontal="center" vertical="center" wrapText="1"/>
    </xf>
    <xf numFmtId="49" fontId="41" fillId="12" borderId="52" xfId="20" applyNumberFormat="1" applyFont="1" applyFill="1" applyBorder="1" applyAlignment="1">
      <alignment horizontal="center" vertical="justify" wrapText="1"/>
    </xf>
    <xf numFmtId="9" fontId="41" fillId="0" borderId="22" xfId="20" applyFont="1" applyFill="1" applyBorder="1" applyAlignment="1">
      <alignment horizontal="center" vertical="center" wrapText="1"/>
    </xf>
    <xf numFmtId="9" fontId="41" fillId="0" borderId="41" xfId="20" applyFont="1" applyFill="1" applyBorder="1" applyAlignment="1">
      <alignment horizontal="center" vertical="center" wrapText="1"/>
    </xf>
    <xf numFmtId="49" fontId="41" fillId="0" borderId="51" xfId="20" applyNumberFormat="1" applyFont="1" applyFill="1" applyBorder="1" applyAlignment="1">
      <alignment horizontal="center" vertical="center" wrapText="1"/>
    </xf>
    <xf numFmtId="49" fontId="41" fillId="0" borderId="51" xfId="20" applyNumberFormat="1" applyFont="1" applyFill="1" applyBorder="1" applyAlignment="1">
      <alignment horizontal="justify" vertical="center" wrapText="1"/>
    </xf>
    <xf numFmtId="9" fontId="41" fillId="0" borderId="22" xfId="20" applyFont="1" applyFill="1" applyBorder="1" applyAlignment="1">
      <alignment horizontal="center" vertical="center"/>
    </xf>
    <xf numFmtId="9" fontId="41" fillId="0" borderId="41" xfId="20" applyFont="1" applyFill="1" applyBorder="1" applyAlignment="1">
      <alignment horizontal="center" vertical="center"/>
    </xf>
    <xf numFmtId="9" fontId="41" fillId="21" borderId="22" xfId="20" applyFont="1" applyFill="1" applyBorder="1" applyAlignment="1">
      <alignment horizontal="center" vertical="center" wrapText="1"/>
    </xf>
    <xf numFmtId="9" fontId="40" fillId="12" borderId="41" xfId="20" applyFont="1" applyFill="1" applyBorder="1" applyAlignment="1">
      <alignment horizontal="center" vertical="center" wrapText="1"/>
    </xf>
    <xf numFmtId="49" fontId="41" fillId="12" borderId="51" xfId="20" applyNumberFormat="1" applyFont="1" applyFill="1" applyBorder="1" applyAlignment="1">
      <alignment horizontal="justify" vertical="center" wrapText="1"/>
    </xf>
    <xf numFmtId="49" fontId="41" fillId="0" borderId="3" xfId="20" applyNumberFormat="1" applyFont="1" applyFill="1" applyBorder="1" applyAlignment="1">
      <alignment vertical="center" wrapText="1"/>
    </xf>
    <xf numFmtId="9" fontId="44" fillId="0" borderId="22" xfId="20" applyFont="1" applyFill="1" applyBorder="1" applyAlignment="1">
      <alignment horizontal="center" vertical="center" wrapText="1"/>
    </xf>
    <xf numFmtId="49" fontId="41" fillId="0" borderId="1" xfId="20" applyNumberFormat="1" applyFont="1" applyFill="1" applyBorder="1" applyAlignment="1">
      <alignment vertical="center" wrapText="1"/>
    </xf>
    <xf numFmtId="9" fontId="47" fillId="12" borderId="41" xfId="20" applyFont="1" applyFill="1" applyBorder="1" applyAlignment="1">
      <alignment horizontal="center" vertical="center" wrapText="1"/>
    </xf>
    <xf numFmtId="49" fontId="40" fillId="12" borderId="51" xfId="20" applyNumberFormat="1" applyFont="1" applyFill="1" applyBorder="1" applyAlignment="1">
      <alignment horizontal="justify" vertical="center" wrapText="1"/>
    </xf>
    <xf numFmtId="49" fontId="41" fillId="0" borderId="47" xfId="20" applyNumberFormat="1" applyFont="1" applyFill="1" applyBorder="1" applyAlignment="1">
      <alignment horizontal="justify" vertical="center" wrapText="1"/>
    </xf>
    <xf numFmtId="9" fontId="40" fillId="12" borderId="31" xfId="20" applyFont="1" applyFill="1" applyBorder="1" applyAlignment="1">
      <alignment horizontal="center" vertical="center" wrapText="1"/>
    </xf>
    <xf numFmtId="9" fontId="41" fillId="12" borderId="22" xfId="20" applyFont="1" applyFill="1" applyBorder="1" applyAlignment="1">
      <alignment horizontal="center" vertical="center" wrapText="1"/>
    </xf>
    <xf numFmtId="9" fontId="40" fillId="12" borderId="28" xfId="20" applyFont="1" applyFill="1" applyBorder="1" applyAlignment="1">
      <alignment horizontal="center" vertical="center" wrapText="1"/>
    </xf>
    <xf numFmtId="49" fontId="40" fillId="12" borderId="33" xfId="20" applyNumberFormat="1" applyFont="1" applyFill="1" applyBorder="1" applyAlignment="1">
      <alignment horizontal="justify" vertical="center" wrapText="1"/>
    </xf>
    <xf numFmtId="9" fontId="41" fillId="12" borderId="7" xfId="20" applyFont="1" applyFill="1" applyBorder="1" applyAlignment="1">
      <alignment horizontal="center" vertical="center" wrapText="1"/>
    </xf>
    <xf numFmtId="9" fontId="41" fillId="12" borderId="41" xfId="20" applyFont="1" applyFill="1" applyBorder="1" applyAlignment="1">
      <alignment horizontal="center" vertical="center" wrapText="1"/>
    </xf>
    <xf numFmtId="49" fontId="41" fillId="12" borderId="41" xfId="20" applyNumberFormat="1" applyFont="1" applyFill="1" applyBorder="1" applyAlignment="1">
      <alignment horizontal="justify" vertical="center" wrapText="1"/>
    </xf>
    <xf numFmtId="49" fontId="41" fillId="0" borderId="41" xfId="20" applyNumberFormat="1" applyFont="1" applyFill="1" applyBorder="1" applyAlignment="1">
      <alignment horizontal="justify" vertical="center" wrapText="1"/>
    </xf>
    <xf numFmtId="9" fontId="40" fillId="12" borderId="42" xfId="20" applyFont="1" applyFill="1" applyBorder="1" applyAlignment="1">
      <alignment horizontal="center" vertical="center" wrapText="1"/>
    </xf>
    <xf numFmtId="49" fontId="40" fillId="12" borderId="42" xfId="20" applyNumberFormat="1" applyFont="1" applyFill="1" applyBorder="1" applyAlignment="1">
      <alignment horizontal="justify" vertical="center" wrapText="1"/>
    </xf>
    <xf numFmtId="167" fontId="41" fillId="0" borderId="22" xfId="20" applyNumberFormat="1" applyFont="1" applyFill="1" applyBorder="1" applyAlignment="1">
      <alignment horizontal="center" vertical="center"/>
    </xf>
    <xf numFmtId="49" fontId="41" fillId="0" borderId="19" xfId="20" applyNumberFormat="1" applyFont="1" applyBorder="1" applyAlignment="1">
      <alignment vertical="center" wrapText="1"/>
    </xf>
    <xf numFmtId="167" fontId="41" fillId="0" borderId="31" xfId="20" applyNumberFormat="1" applyFont="1" applyFill="1" applyBorder="1" applyAlignment="1">
      <alignment horizontal="center" vertical="center"/>
    </xf>
    <xf numFmtId="9" fontId="40" fillId="12" borderId="12" xfId="20" applyFont="1" applyFill="1" applyBorder="1" applyAlignment="1">
      <alignment horizontal="center" vertical="center" wrapText="1"/>
    </xf>
    <xf numFmtId="49" fontId="41" fillId="12" borderId="28" xfId="20" applyNumberFormat="1" applyFont="1" applyFill="1" applyBorder="1" applyAlignment="1">
      <alignment horizontal="justify" vertical="center" wrapText="1"/>
    </xf>
    <xf numFmtId="9" fontId="40" fillId="0" borderId="0" xfId="20" applyFont="1" applyFill="1" applyBorder="1" applyAlignment="1">
      <alignment horizontal="center" vertical="center" wrapText="1"/>
    </xf>
    <xf numFmtId="49" fontId="41" fillId="0" borderId="0" xfId="20" applyNumberFormat="1" applyFont="1" applyFill="1" applyBorder="1" applyAlignment="1">
      <alignment horizontal="justify" vertical="center" wrapText="1"/>
    </xf>
    <xf numFmtId="49" fontId="54" fillId="12" borderId="28" xfId="20" applyNumberFormat="1" applyFont="1" applyFill="1" applyBorder="1" applyAlignment="1">
      <alignment horizontal="justify" vertical="center" wrapText="1"/>
    </xf>
    <xf numFmtId="3" fontId="53" fillId="0" borderId="1" xfId="0" applyNumberFormat="1" applyFont="1" applyFill="1" applyBorder="1" applyAlignment="1">
      <alignment horizontal="right"/>
    </xf>
    <xf numFmtId="0" fontId="56" fillId="15" borderId="1" xfId="0" applyFont="1" applyFill="1" applyBorder="1" applyAlignment="1">
      <alignment horizontal="center" vertical="center"/>
    </xf>
    <xf numFmtId="49" fontId="57" fillId="2" borderId="1" xfId="1" applyNumberFormat="1" applyFont="1" applyFill="1" applyBorder="1" applyAlignment="1">
      <alignment horizontal="center" vertical="center" wrapText="1"/>
    </xf>
    <xf numFmtId="49" fontId="57" fillId="2" borderId="1" xfId="1" applyNumberFormat="1" applyFont="1" applyFill="1" applyBorder="1" applyAlignment="1">
      <alignment horizontal="left" vertical="center" wrapText="1"/>
    </xf>
    <xf numFmtId="3" fontId="57" fillId="2" borderId="1" xfId="1" applyNumberFormat="1" applyFont="1" applyFill="1" applyBorder="1" applyAlignment="1">
      <alignment horizontal="center" vertical="center" wrapText="1"/>
    </xf>
    <xf numFmtId="10" fontId="57" fillId="2" borderId="1" xfId="1" applyNumberFormat="1" applyFont="1" applyFill="1" applyBorder="1" applyAlignment="1">
      <alignment horizontal="center" vertical="center" wrapText="1"/>
    </xf>
    <xf numFmtId="3" fontId="58" fillId="0" borderId="0" xfId="0" applyNumberFormat="1" applyFont="1" applyAlignment="1">
      <alignment horizontal="center"/>
    </xf>
    <xf numFmtId="0" fontId="58" fillId="0" borderId="0" xfId="0" applyFont="1" applyAlignment="1">
      <alignment horizontal="center"/>
    </xf>
    <xf numFmtId="0" fontId="58" fillId="0" borderId="1" xfId="0" applyFont="1" applyFill="1" applyBorder="1" applyAlignment="1">
      <alignment horizontal="left" vertical="center"/>
    </xf>
    <xf numFmtId="0" fontId="58" fillId="0" borderId="1" xfId="1" applyFont="1" applyFill="1" applyBorder="1" applyAlignment="1" applyProtection="1">
      <alignment horizontal="right" vertical="center"/>
      <protection locked="0"/>
    </xf>
    <xf numFmtId="0" fontId="58" fillId="0" borderId="1" xfId="0" applyFont="1" applyBorder="1" applyAlignment="1">
      <alignment horizontal="left" vertical="center"/>
    </xf>
    <xf numFmtId="3" fontId="58" fillId="0" borderId="1" xfId="0" applyNumberFormat="1" applyFont="1" applyBorder="1" applyAlignment="1">
      <alignment horizontal="right" vertical="center"/>
    </xf>
    <xf numFmtId="10" fontId="58" fillId="0" borderId="1" xfId="0" applyNumberFormat="1" applyFont="1" applyBorder="1" applyAlignment="1">
      <alignment horizontal="right" vertical="center"/>
    </xf>
    <xf numFmtId="3" fontId="58" fillId="0" borderId="0" xfId="0" applyNumberFormat="1" applyFont="1" applyAlignment="1">
      <alignment vertical="center"/>
    </xf>
    <xf numFmtId="0" fontId="58" fillId="0" borderId="0" xfId="0" applyFont="1" applyAlignment="1">
      <alignment vertical="center"/>
    </xf>
    <xf numFmtId="0" fontId="58" fillId="25" borderId="1" xfId="0" applyFont="1" applyFill="1" applyBorder="1" applyAlignment="1">
      <alignment horizontal="left" vertical="center"/>
    </xf>
    <xf numFmtId="0" fontId="58" fillId="25" borderId="1" xfId="1" applyFont="1" applyFill="1" applyBorder="1" applyAlignment="1" applyProtection="1">
      <alignment horizontal="right" vertical="center"/>
      <protection locked="0"/>
    </xf>
    <xf numFmtId="3" fontId="58" fillId="25" borderId="1" xfId="0" applyNumberFormat="1" applyFont="1" applyFill="1" applyBorder="1" applyAlignment="1">
      <alignment horizontal="right" vertical="center"/>
    </xf>
    <xf numFmtId="10" fontId="58" fillId="25" borderId="1" xfId="0" applyNumberFormat="1" applyFont="1" applyFill="1" applyBorder="1" applyAlignment="1">
      <alignment horizontal="right" vertical="center"/>
    </xf>
    <xf numFmtId="3" fontId="58" fillId="25" borderId="0" xfId="0" applyNumberFormat="1" applyFont="1" applyFill="1" applyAlignment="1">
      <alignment vertical="center"/>
    </xf>
    <xf numFmtId="0" fontId="58" fillId="25" borderId="0" xfId="0" applyFont="1" applyFill="1" applyAlignment="1">
      <alignment vertical="center"/>
    </xf>
    <xf numFmtId="0" fontId="58" fillId="25" borderId="1" xfId="0" applyFont="1" applyFill="1" applyBorder="1" applyProtection="1"/>
    <xf numFmtId="3" fontId="58" fillId="0" borderId="0" xfId="0" applyNumberFormat="1" applyFont="1" applyFill="1" applyAlignment="1">
      <alignment vertical="center"/>
    </xf>
    <xf numFmtId="0" fontId="58" fillId="0" borderId="0" xfId="0" applyFont="1" applyFill="1" applyAlignment="1">
      <alignment vertical="center"/>
    </xf>
    <xf numFmtId="0" fontId="50" fillId="0" borderId="1" xfId="0" applyFont="1" applyFill="1" applyBorder="1"/>
    <xf numFmtId="0" fontId="58" fillId="0" borderId="0" xfId="0" applyFont="1" applyAlignment="1">
      <alignment horizontal="left"/>
    </xf>
    <xf numFmtId="0" fontId="58" fillId="0" borderId="1" xfId="3" applyFont="1" applyFill="1" applyBorder="1" applyAlignment="1">
      <alignment horizontal="left" vertical="center" wrapText="1"/>
    </xf>
    <xf numFmtId="0" fontId="58" fillId="0" borderId="1" xfId="1" applyFont="1" applyBorder="1" applyAlignment="1" applyProtection="1">
      <alignment horizontal="right" vertical="center"/>
      <protection locked="0"/>
    </xf>
    <xf numFmtId="0" fontId="58" fillId="25" borderId="1" xfId="3" applyFont="1" applyFill="1" applyBorder="1" applyAlignment="1">
      <alignment horizontal="left" vertical="center" wrapText="1"/>
    </xf>
    <xf numFmtId="3" fontId="57" fillId="2" borderId="1" xfId="1" applyNumberFormat="1" applyFont="1" applyFill="1" applyBorder="1" applyAlignment="1">
      <alignment horizontal="right" vertical="center" wrapText="1"/>
    </xf>
    <xf numFmtId="3" fontId="57" fillId="2" borderId="1" xfId="1" applyNumberFormat="1" applyFont="1" applyFill="1" applyBorder="1" applyAlignment="1">
      <alignment horizontal="left" vertical="center" wrapText="1"/>
    </xf>
    <xf numFmtId="9" fontId="57" fillId="2" borderId="1" xfId="5" applyFont="1" applyFill="1" applyBorder="1" applyAlignment="1">
      <alignment horizontal="right" vertical="center" wrapText="1"/>
    </xf>
    <xf numFmtId="0" fontId="58" fillId="0" borderId="0" xfId="0" applyFont="1"/>
    <xf numFmtId="0" fontId="58" fillId="0" borderId="0" xfId="0" applyFont="1" applyAlignment="1">
      <alignment wrapText="1"/>
    </xf>
    <xf numFmtId="0" fontId="58" fillId="0" borderId="0" xfId="0" applyFont="1" applyAlignment="1">
      <alignment horizontal="right"/>
    </xf>
    <xf numFmtId="3" fontId="58" fillId="0" borderId="0" xfId="0" applyNumberFormat="1" applyFont="1" applyAlignment="1">
      <alignment horizontal="right"/>
    </xf>
    <xf numFmtId="10" fontId="58" fillId="0" borderId="0" xfId="0" applyNumberFormat="1" applyFont="1" applyAlignment="1">
      <alignment horizontal="right"/>
    </xf>
    <xf numFmtId="3" fontId="58" fillId="0" borderId="0" xfId="0" applyNumberFormat="1" applyFont="1"/>
    <xf numFmtId="0" fontId="24" fillId="0" borderId="1" xfId="0" applyFont="1" applyFill="1" applyBorder="1"/>
    <xf numFmtId="0" fontId="32" fillId="0" borderId="1" xfId="0" applyFont="1" applyFill="1" applyBorder="1" applyAlignment="1">
      <alignment vertical="center"/>
    </xf>
    <xf numFmtId="0" fontId="13" fillId="0" borderId="1" xfId="0" applyFont="1" applyFill="1" applyBorder="1"/>
    <xf numFmtId="0" fontId="42" fillId="0" borderId="1" xfId="0" applyFont="1" applyFill="1" applyBorder="1" applyAlignment="1">
      <alignment horizontal="left" vertical="center"/>
    </xf>
    <xf numFmtId="0" fontId="42" fillId="0" borderId="1" xfId="4" applyFont="1" applyFill="1" applyBorder="1" applyAlignment="1">
      <alignment horizontal="left" vertical="center"/>
    </xf>
    <xf numFmtId="1" fontId="42" fillId="0" borderId="1" xfId="11" applyFont="1" applyFill="1" applyBorder="1" applyAlignment="1">
      <alignment horizontal="left" vertical="center"/>
    </xf>
    <xf numFmtId="0" fontId="58" fillId="0" borderId="34" xfId="3" applyFont="1" applyFill="1" applyBorder="1" applyAlignment="1">
      <alignment horizontal="center" vertical="center" wrapText="1"/>
    </xf>
    <xf numFmtId="0" fontId="58" fillId="0" borderId="9" xfId="3" applyFont="1" applyFill="1" applyBorder="1" applyAlignment="1">
      <alignment horizontal="center" vertical="center" wrapText="1"/>
    </xf>
    <xf numFmtId="49" fontId="58" fillId="0" borderId="34" xfId="1" applyNumberFormat="1" applyFont="1" applyFill="1" applyBorder="1" applyAlignment="1" applyProtection="1">
      <alignment horizontal="center" vertical="center"/>
      <protection locked="0"/>
    </xf>
    <xf numFmtId="49" fontId="58" fillId="0" borderId="9" xfId="1" applyNumberFormat="1" applyFont="1" applyFill="1" applyBorder="1" applyAlignment="1" applyProtection="1">
      <alignment horizontal="center" vertical="center"/>
      <protection locked="0"/>
    </xf>
    <xf numFmtId="3" fontId="58" fillId="25" borderId="34" xfId="0" applyNumberFormat="1" applyFont="1" applyFill="1" applyBorder="1" applyAlignment="1">
      <alignment horizontal="right" vertical="center"/>
    </xf>
    <xf numFmtId="3" fontId="58" fillId="25" borderId="9" xfId="0" applyNumberFormat="1" applyFont="1" applyFill="1" applyBorder="1" applyAlignment="1">
      <alignment horizontal="right" vertical="center"/>
    </xf>
    <xf numFmtId="3" fontId="58" fillId="25" borderId="16" xfId="0" applyNumberFormat="1" applyFont="1" applyFill="1" applyBorder="1" applyAlignment="1">
      <alignment horizontal="right" vertical="center"/>
    </xf>
    <xf numFmtId="3" fontId="58" fillId="0" borderId="34" xfId="0" applyNumberFormat="1" applyFont="1" applyBorder="1" applyAlignment="1">
      <alignment horizontal="right" vertical="center"/>
    </xf>
    <xf numFmtId="3" fontId="58" fillId="0" borderId="9" xfId="0" applyNumberFormat="1" applyFont="1" applyBorder="1" applyAlignment="1">
      <alignment horizontal="right" vertical="center"/>
    </xf>
    <xf numFmtId="3" fontId="58" fillId="0" borderId="34" xfId="0" applyNumberFormat="1" applyFont="1" applyFill="1" applyBorder="1" applyAlignment="1">
      <alignment horizontal="center" vertical="center"/>
    </xf>
    <xf numFmtId="3" fontId="58" fillId="0" borderId="16" xfId="0" applyNumberFormat="1" applyFont="1" applyFill="1" applyBorder="1" applyAlignment="1">
      <alignment horizontal="center" vertical="center"/>
    </xf>
    <xf numFmtId="3" fontId="58" fillId="0" borderId="9" xfId="0" applyNumberFormat="1" applyFont="1" applyFill="1" applyBorder="1" applyAlignment="1">
      <alignment horizontal="center" vertical="center"/>
    </xf>
    <xf numFmtId="0" fontId="58" fillId="25" borderId="1" xfId="3" applyFont="1" applyFill="1" applyBorder="1" applyAlignment="1">
      <alignment horizontal="left" vertical="center" wrapText="1"/>
    </xf>
    <xf numFmtId="0" fontId="58" fillId="25" borderId="34" xfId="3" applyFont="1" applyFill="1" applyBorder="1" applyAlignment="1">
      <alignment horizontal="center" vertical="center" wrapText="1"/>
    </xf>
    <xf numFmtId="0" fontId="58" fillId="25" borderId="9" xfId="3" applyFont="1" applyFill="1" applyBorder="1" applyAlignment="1">
      <alignment horizontal="center" vertical="center" wrapText="1"/>
    </xf>
    <xf numFmtId="49" fontId="58" fillId="25" borderId="34" xfId="1" applyNumberFormat="1" applyFont="1" applyFill="1" applyBorder="1" applyAlignment="1" applyProtection="1">
      <alignment horizontal="center" vertical="center"/>
      <protection locked="0"/>
    </xf>
    <xf numFmtId="49" fontId="58" fillId="25" borderId="9" xfId="1" applyNumberFormat="1" applyFont="1" applyFill="1" applyBorder="1" applyAlignment="1" applyProtection="1">
      <alignment horizontal="center" vertical="center"/>
      <protection locked="0"/>
    </xf>
    <xf numFmtId="0" fontId="58" fillId="25" borderId="16" xfId="3" applyFont="1" applyFill="1" applyBorder="1" applyAlignment="1">
      <alignment horizontal="center" vertical="center" wrapText="1"/>
    </xf>
    <xf numFmtId="49" fontId="58" fillId="25" borderId="16" xfId="1" applyNumberFormat="1" applyFont="1" applyFill="1" applyBorder="1" applyAlignment="1" applyProtection="1">
      <alignment horizontal="center" vertical="center"/>
      <protection locked="0"/>
    </xf>
    <xf numFmtId="0" fontId="58" fillId="0" borderId="16" xfId="3" applyFont="1" applyFill="1" applyBorder="1" applyAlignment="1">
      <alignment horizontal="center" vertical="center" wrapText="1"/>
    </xf>
    <xf numFmtId="49" fontId="58" fillId="0" borderId="16" xfId="1" applyNumberFormat="1" applyFont="1" applyFill="1" applyBorder="1" applyAlignment="1" applyProtection="1">
      <alignment horizontal="center" vertical="center"/>
      <protection locked="0"/>
    </xf>
    <xf numFmtId="3" fontId="58" fillId="0" borderId="16" xfId="0" applyNumberFormat="1" applyFont="1" applyBorder="1" applyAlignment="1">
      <alignment horizontal="right" vertical="center"/>
    </xf>
    <xf numFmtId="0" fontId="58" fillId="0" borderId="1" xfId="3" applyFont="1" applyFill="1" applyBorder="1" applyAlignment="1">
      <alignment horizontal="left" vertical="center" wrapText="1"/>
    </xf>
    <xf numFmtId="49" fontId="58" fillId="0" borderId="1" xfId="1" applyNumberFormat="1" applyFont="1" applyFill="1" applyBorder="1" applyAlignment="1" applyProtection="1">
      <alignment horizontal="center" vertical="center"/>
      <protection locked="0"/>
    </xf>
    <xf numFmtId="49" fontId="58" fillId="25" borderId="1" xfId="1" applyNumberFormat="1" applyFont="1" applyFill="1" applyBorder="1" applyAlignment="1" applyProtection="1">
      <alignment horizontal="center" vertical="center"/>
      <protection locked="0"/>
    </xf>
    <xf numFmtId="3" fontId="58" fillId="0" borderId="1" xfId="0" applyNumberFormat="1" applyFont="1" applyBorder="1" applyAlignment="1">
      <alignment horizontal="right" vertical="center"/>
    </xf>
    <xf numFmtId="168" fontId="50" fillId="0" borderId="0" xfId="6" applyNumberFormat="1" applyFont="1" applyFill="1" applyAlignment="1">
      <alignment horizontal="center" vertical="center" wrapText="1"/>
    </xf>
    <xf numFmtId="168" fontId="51" fillId="0" borderId="0" xfId="6" applyNumberFormat="1" applyFont="1" applyFill="1" applyAlignment="1">
      <alignment horizontal="center" vertical="center" wrapText="1"/>
    </xf>
    <xf numFmtId="168" fontId="42" fillId="0" borderId="0" xfId="6" applyNumberFormat="1" applyFont="1" applyFill="1" applyAlignment="1">
      <alignment horizontal="center" vertical="center" wrapText="1"/>
    </xf>
    <xf numFmtId="0" fontId="42" fillId="19" borderId="1" xfId="0" applyFont="1" applyFill="1" applyBorder="1" applyAlignment="1">
      <alignment horizontal="center" vertical="center" wrapText="1"/>
    </xf>
    <xf numFmtId="1" fontId="42" fillId="19" borderId="1" xfId="0" applyNumberFormat="1" applyFont="1" applyFill="1" applyBorder="1" applyAlignment="1">
      <alignment horizontal="center" vertical="center" wrapText="1"/>
    </xf>
    <xf numFmtId="2" fontId="42" fillId="19" borderId="1" xfId="0" applyNumberFormat="1" applyFont="1" applyFill="1" applyBorder="1" applyAlignment="1">
      <alignment horizontal="center" vertical="center" wrapText="1"/>
    </xf>
    <xf numFmtId="49" fontId="42" fillId="19" borderId="1" xfId="0" applyNumberFormat="1" applyFont="1" applyFill="1" applyBorder="1" applyAlignment="1">
      <alignment horizontal="center" vertical="center" wrapText="1"/>
    </xf>
    <xf numFmtId="0" fontId="40" fillId="17" borderId="13" xfId="4" applyFont="1" applyFill="1" applyBorder="1" applyAlignment="1">
      <alignment horizontal="center" vertical="center" wrapText="1"/>
    </xf>
    <xf numFmtId="0" fontId="40" fillId="17" borderId="20" xfId="4" applyFont="1" applyFill="1" applyBorder="1" applyAlignment="1">
      <alignment horizontal="center" vertical="center" wrapText="1"/>
    </xf>
    <xf numFmtId="168" fontId="37" fillId="0" borderId="0" xfId="6" applyNumberFormat="1" applyFont="1" applyAlignment="1">
      <alignment horizontal="center" vertical="center" wrapText="1"/>
    </xf>
    <xf numFmtId="168" fontId="38" fillId="0" borderId="0" xfId="6" applyNumberFormat="1" applyFont="1" applyAlignment="1">
      <alignment horizontal="center" vertical="center" wrapText="1"/>
    </xf>
    <xf numFmtId="49" fontId="40" fillId="17" borderId="15" xfId="4" applyNumberFormat="1" applyFont="1" applyFill="1" applyBorder="1" applyAlignment="1">
      <alignment horizontal="center" vertical="center" wrapText="1"/>
    </xf>
    <xf numFmtId="49" fontId="40" fillId="17" borderId="25" xfId="4" applyNumberFormat="1" applyFont="1" applyFill="1" applyBorder="1" applyAlignment="1">
      <alignment horizontal="center" vertical="center" wrapText="1"/>
    </xf>
    <xf numFmtId="1" fontId="40" fillId="18" borderId="5" xfId="4" applyNumberFormat="1" applyFont="1" applyFill="1" applyBorder="1" applyAlignment="1">
      <alignment horizontal="center" vertical="center" wrapText="1"/>
    </xf>
    <xf numFmtId="1" fontId="40" fillId="18" borderId="6" xfId="4" applyNumberFormat="1" applyFont="1" applyFill="1" applyBorder="1" applyAlignment="1">
      <alignment horizontal="center" vertical="center" wrapText="1"/>
    </xf>
    <xf numFmtId="1" fontId="40" fillId="18" borderId="7" xfId="4" applyNumberFormat="1" applyFont="1" applyFill="1" applyBorder="1" applyAlignment="1">
      <alignment horizontal="center" vertical="center" wrapText="1"/>
    </xf>
    <xf numFmtId="1" fontId="40" fillId="18" borderId="18" xfId="4" applyNumberFormat="1" applyFont="1" applyFill="1" applyBorder="1" applyAlignment="1">
      <alignment horizontal="center" vertical="center" wrapText="1"/>
    </xf>
    <xf numFmtId="1" fontId="40" fillId="18" borderId="14" xfId="4" applyNumberFormat="1" applyFont="1" applyFill="1" applyBorder="1" applyAlignment="1">
      <alignment horizontal="center" vertical="center" wrapText="1"/>
    </xf>
    <xf numFmtId="1" fontId="40" fillId="18" borderId="15" xfId="4" applyNumberFormat="1" applyFont="1" applyFill="1" applyBorder="1" applyAlignment="1">
      <alignment horizontal="center" vertical="center" wrapText="1"/>
    </xf>
    <xf numFmtId="169" fontId="40" fillId="17" borderId="19" xfId="4" applyNumberFormat="1" applyFont="1" applyFill="1" applyBorder="1" applyAlignment="1">
      <alignment horizontal="center" vertical="center" wrapText="1"/>
    </xf>
    <xf numFmtId="169" fontId="40" fillId="17" borderId="24" xfId="4" applyNumberFormat="1" applyFont="1" applyFill="1" applyBorder="1" applyAlignment="1">
      <alignment horizontal="center" vertical="center" wrapText="1"/>
    </xf>
  </cellXfs>
  <cellStyles count="21">
    <cellStyle name="Millares 2" xfId="7" xr:uid="{66A3C8B9-28E3-4B33-9077-DA0B67F071F2}"/>
    <cellStyle name="Millares 3" xfId="8" xr:uid="{A59B184D-54F0-448E-93F9-3B4BAC905F53}"/>
    <cellStyle name="Nivel 7" xfId="11" xr:uid="{DDE04AE8-757C-4DDC-8BFB-4A7365190115}"/>
    <cellStyle name="Normal" xfId="0" builtinId="0"/>
    <cellStyle name="Normal 2" xfId="1" xr:uid="{00000000-0005-0000-0000-000001000000}"/>
    <cellStyle name="Normal 2 2" xfId="4" xr:uid="{9C417B7C-16BA-4322-84F1-21AED7947207}"/>
    <cellStyle name="Normal 2 2 3" xfId="6" xr:uid="{7F041290-7640-4AD1-BBD6-CDAF0FA0E01D}"/>
    <cellStyle name="Normal 3" xfId="3" xr:uid="{D2FFBFF7-61E2-425D-A21E-C1550E1357C6}"/>
    <cellStyle name="Normal 3 2" xfId="16" xr:uid="{69A77E31-9A77-4B66-AFE9-2D5AA8C72ABA}"/>
    <cellStyle name="Normal_LoquequedoenAccess" xfId="2" xr:uid="{6DAB75EF-8895-48AF-A28F-C1E8DBA0C468}"/>
    <cellStyle name="Porcentaje" xfId="5" builtinId="5"/>
    <cellStyle name="Porcentaje 10" xfId="19" xr:uid="{D7347B3C-0A79-4DFE-9A71-33D07B0E5910}"/>
    <cellStyle name="Porcentaje 11" xfId="20" xr:uid="{7C2FCE81-5B28-4977-8E0D-4A0599F187EF}"/>
    <cellStyle name="Porcentaje 2" xfId="9" xr:uid="{A35EB172-2C50-437A-9AF7-441E7FE6BB61}"/>
    <cellStyle name="Porcentaje 3" xfId="10" xr:uid="{AE048337-4A49-47DC-B282-8F275118477D}"/>
    <cellStyle name="Porcentaje 4" xfId="12" xr:uid="{201313B9-38D2-4736-8E07-B09448AFDA03}"/>
    <cellStyle name="Porcentaje 5" xfId="13" xr:uid="{18313E8E-6889-4E84-807C-41A7A2893DAF}"/>
    <cellStyle name="Porcentaje 6" xfId="14" xr:uid="{B41FDECD-0960-4BD5-A84A-94EDF88223E3}"/>
    <cellStyle name="Porcentaje 7" xfId="15" xr:uid="{557ED866-9CEA-4B3A-968C-C5961D3FB3AC}"/>
    <cellStyle name="Porcentaje 8" xfId="17" xr:uid="{0AEBF621-C07D-4040-97E8-1C5C6523B000}"/>
    <cellStyle name="Porcentaje 9" xfId="18" xr:uid="{B64CD6C6-65CE-4820-8817-B9A06D66707F}"/>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00B050"/>
  </sheetPr>
  <dimension ref="A1:AM124"/>
  <sheetViews>
    <sheetView tabSelected="1" zoomScale="110" zoomScaleNormal="110" workbookViewId="0">
      <pane xSplit="16" ySplit="1" topLeftCell="V2" activePane="bottomRight" state="frozen"/>
      <selection activeCell="P31" sqref="P31"/>
      <selection pane="topRight" activeCell="P31" sqref="P31"/>
      <selection pane="bottomLeft" activeCell="P31" sqref="P31"/>
      <selection pane="bottomRight" activeCell="J132" sqref="J132"/>
    </sheetView>
  </sheetViews>
  <sheetFormatPr baseColWidth="10" defaultRowHeight="13.2" x14ac:dyDescent="0.25"/>
  <cols>
    <col min="1" max="5" width="9.77734375" customWidth="1"/>
    <col min="6" max="6" width="5.33203125" customWidth="1"/>
    <col min="7" max="9" width="1.6640625" customWidth="1"/>
    <col min="12" max="12" width="0" hidden="1" customWidth="1"/>
    <col min="14" max="15" width="1.88671875" customWidth="1"/>
    <col min="17" max="17" width="13.6640625" style="44" bestFit="1" customWidth="1"/>
    <col min="18" max="37" width="13.77734375" style="44" customWidth="1"/>
    <col min="38" max="39" width="13.77734375" customWidth="1"/>
    <col min="257" max="261" width="9.77734375" customWidth="1"/>
    <col min="262" max="262" width="5.33203125" customWidth="1"/>
    <col min="263" max="265" width="1.6640625" customWidth="1"/>
    <col min="268" max="268" width="0" hidden="1" customWidth="1"/>
    <col min="270" max="271" width="1.88671875" customWidth="1"/>
    <col min="273" max="273" width="13.6640625" bestFit="1" customWidth="1"/>
    <col min="274" max="295" width="13.77734375" customWidth="1"/>
    <col min="513" max="517" width="9.77734375" customWidth="1"/>
    <col min="518" max="518" width="5.33203125" customWidth="1"/>
    <col min="519" max="521" width="1.6640625" customWidth="1"/>
    <col min="524" max="524" width="0" hidden="1" customWidth="1"/>
    <col min="526" max="527" width="1.88671875" customWidth="1"/>
    <col min="529" max="529" width="13.6640625" bestFit="1" customWidth="1"/>
    <col min="530" max="551" width="13.77734375" customWidth="1"/>
    <col min="769" max="773" width="9.77734375" customWidth="1"/>
    <col min="774" max="774" width="5.33203125" customWidth="1"/>
    <col min="775" max="777" width="1.6640625" customWidth="1"/>
    <col min="780" max="780" width="0" hidden="1" customWidth="1"/>
    <col min="782" max="783" width="1.88671875" customWidth="1"/>
    <col min="785" max="785" width="13.6640625" bestFit="1" customWidth="1"/>
    <col min="786" max="807" width="13.77734375" customWidth="1"/>
    <col min="1025" max="1029" width="9.77734375" customWidth="1"/>
    <col min="1030" max="1030" width="5.33203125" customWidth="1"/>
    <col min="1031" max="1033" width="1.6640625" customWidth="1"/>
    <col min="1036" max="1036" width="0" hidden="1" customWidth="1"/>
    <col min="1038" max="1039" width="1.88671875" customWidth="1"/>
    <col min="1041" max="1041" width="13.6640625" bestFit="1" customWidth="1"/>
    <col min="1042" max="1063" width="13.77734375" customWidth="1"/>
    <col min="1281" max="1285" width="9.77734375" customWidth="1"/>
    <col min="1286" max="1286" width="5.33203125" customWidth="1"/>
    <col min="1287" max="1289" width="1.6640625" customWidth="1"/>
    <col min="1292" max="1292" width="0" hidden="1" customWidth="1"/>
    <col min="1294" max="1295" width="1.88671875" customWidth="1"/>
    <col min="1297" max="1297" width="13.6640625" bestFit="1" customWidth="1"/>
    <col min="1298" max="1319" width="13.77734375" customWidth="1"/>
    <col min="1537" max="1541" width="9.77734375" customWidth="1"/>
    <col min="1542" max="1542" width="5.33203125" customWidth="1"/>
    <col min="1543" max="1545" width="1.6640625" customWidth="1"/>
    <col min="1548" max="1548" width="0" hidden="1" customWidth="1"/>
    <col min="1550" max="1551" width="1.88671875" customWidth="1"/>
    <col min="1553" max="1553" width="13.6640625" bestFit="1" customWidth="1"/>
    <col min="1554" max="1575" width="13.77734375" customWidth="1"/>
    <col min="1793" max="1797" width="9.77734375" customWidth="1"/>
    <col min="1798" max="1798" width="5.33203125" customWidth="1"/>
    <col min="1799" max="1801" width="1.6640625" customWidth="1"/>
    <col min="1804" max="1804" width="0" hidden="1" customWidth="1"/>
    <col min="1806" max="1807" width="1.88671875" customWidth="1"/>
    <col min="1809" max="1809" width="13.6640625" bestFit="1" customWidth="1"/>
    <col min="1810" max="1831" width="13.77734375" customWidth="1"/>
    <col min="2049" max="2053" width="9.77734375" customWidth="1"/>
    <col min="2054" max="2054" width="5.33203125" customWidth="1"/>
    <col min="2055" max="2057" width="1.6640625" customWidth="1"/>
    <col min="2060" max="2060" width="0" hidden="1" customWidth="1"/>
    <col min="2062" max="2063" width="1.88671875" customWidth="1"/>
    <col min="2065" max="2065" width="13.6640625" bestFit="1" customWidth="1"/>
    <col min="2066" max="2087" width="13.77734375" customWidth="1"/>
    <col min="2305" max="2309" width="9.77734375" customWidth="1"/>
    <col min="2310" max="2310" width="5.33203125" customWidth="1"/>
    <col min="2311" max="2313" width="1.6640625" customWidth="1"/>
    <col min="2316" max="2316" width="0" hidden="1" customWidth="1"/>
    <col min="2318" max="2319" width="1.88671875" customWidth="1"/>
    <col min="2321" max="2321" width="13.6640625" bestFit="1" customWidth="1"/>
    <col min="2322" max="2343" width="13.77734375" customWidth="1"/>
    <col min="2561" max="2565" width="9.77734375" customWidth="1"/>
    <col min="2566" max="2566" width="5.33203125" customWidth="1"/>
    <col min="2567" max="2569" width="1.6640625" customWidth="1"/>
    <col min="2572" max="2572" width="0" hidden="1" customWidth="1"/>
    <col min="2574" max="2575" width="1.88671875" customWidth="1"/>
    <col min="2577" max="2577" width="13.6640625" bestFit="1" customWidth="1"/>
    <col min="2578" max="2599" width="13.77734375" customWidth="1"/>
    <col min="2817" max="2821" width="9.77734375" customWidth="1"/>
    <col min="2822" max="2822" width="5.33203125" customWidth="1"/>
    <col min="2823" max="2825" width="1.6640625" customWidth="1"/>
    <col min="2828" max="2828" width="0" hidden="1" customWidth="1"/>
    <col min="2830" max="2831" width="1.88671875" customWidth="1"/>
    <col min="2833" max="2833" width="13.6640625" bestFit="1" customWidth="1"/>
    <col min="2834" max="2855" width="13.77734375" customWidth="1"/>
    <col min="3073" max="3077" width="9.77734375" customWidth="1"/>
    <col min="3078" max="3078" width="5.33203125" customWidth="1"/>
    <col min="3079" max="3081" width="1.6640625" customWidth="1"/>
    <col min="3084" max="3084" width="0" hidden="1" customWidth="1"/>
    <col min="3086" max="3087" width="1.88671875" customWidth="1"/>
    <col min="3089" max="3089" width="13.6640625" bestFit="1" customWidth="1"/>
    <col min="3090" max="3111" width="13.77734375" customWidth="1"/>
    <col min="3329" max="3333" width="9.77734375" customWidth="1"/>
    <col min="3334" max="3334" width="5.33203125" customWidth="1"/>
    <col min="3335" max="3337" width="1.6640625" customWidth="1"/>
    <col min="3340" max="3340" width="0" hidden="1" customWidth="1"/>
    <col min="3342" max="3343" width="1.88671875" customWidth="1"/>
    <col min="3345" max="3345" width="13.6640625" bestFit="1" customWidth="1"/>
    <col min="3346" max="3367" width="13.77734375" customWidth="1"/>
    <col min="3585" max="3589" width="9.77734375" customWidth="1"/>
    <col min="3590" max="3590" width="5.33203125" customWidth="1"/>
    <col min="3591" max="3593" width="1.6640625" customWidth="1"/>
    <col min="3596" max="3596" width="0" hidden="1" customWidth="1"/>
    <col min="3598" max="3599" width="1.88671875" customWidth="1"/>
    <col min="3601" max="3601" width="13.6640625" bestFit="1" customWidth="1"/>
    <col min="3602" max="3623" width="13.77734375" customWidth="1"/>
    <col min="3841" max="3845" width="9.77734375" customWidth="1"/>
    <col min="3846" max="3846" width="5.33203125" customWidth="1"/>
    <col min="3847" max="3849" width="1.6640625" customWidth="1"/>
    <col min="3852" max="3852" width="0" hidden="1" customWidth="1"/>
    <col min="3854" max="3855" width="1.88671875" customWidth="1"/>
    <col min="3857" max="3857" width="13.6640625" bestFit="1" customWidth="1"/>
    <col min="3858" max="3879" width="13.77734375" customWidth="1"/>
    <col min="4097" max="4101" width="9.77734375" customWidth="1"/>
    <col min="4102" max="4102" width="5.33203125" customWidth="1"/>
    <col min="4103" max="4105" width="1.6640625" customWidth="1"/>
    <col min="4108" max="4108" width="0" hidden="1" customWidth="1"/>
    <col min="4110" max="4111" width="1.88671875" customWidth="1"/>
    <col min="4113" max="4113" width="13.6640625" bestFit="1" customWidth="1"/>
    <col min="4114" max="4135" width="13.77734375" customWidth="1"/>
    <col min="4353" max="4357" width="9.77734375" customWidth="1"/>
    <col min="4358" max="4358" width="5.33203125" customWidth="1"/>
    <col min="4359" max="4361" width="1.6640625" customWidth="1"/>
    <col min="4364" max="4364" width="0" hidden="1" customWidth="1"/>
    <col min="4366" max="4367" width="1.88671875" customWidth="1"/>
    <col min="4369" max="4369" width="13.6640625" bestFit="1" customWidth="1"/>
    <col min="4370" max="4391" width="13.77734375" customWidth="1"/>
    <col min="4609" max="4613" width="9.77734375" customWidth="1"/>
    <col min="4614" max="4614" width="5.33203125" customWidth="1"/>
    <col min="4615" max="4617" width="1.6640625" customWidth="1"/>
    <col min="4620" max="4620" width="0" hidden="1" customWidth="1"/>
    <col min="4622" max="4623" width="1.88671875" customWidth="1"/>
    <col min="4625" max="4625" width="13.6640625" bestFit="1" customWidth="1"/>
    <col min="4626" max="4647" width="13.77734375" customWidth="1"/>
    <col min="4865" max="4869" width="9.77734375" customWidth="1"/>
    <col min="4870" max="4870" width="5.33203125" customWidth="1"/>
    <col min="4871" max="4873" width="1.6640625" customWidth="1"/>
    <col min="4876" max="4876" width="0" hidden="1" customWidth="1"/>
    <col min="4878" max="4879" width="1.88671875" customWidth="1"/>
    <col min="4881" max="4881" width="13.6640625" bestFit="1" customWidth="1"/>
    <col min="4882" max="4903" width="13.77734375" customWidth="1"/>
    <col min="5121" max="5125" width="9.77734375" customWidth="1"/>
    <col min="5126" max="5126" width="5.33203125" customWidth="1"/>
    <col min="5127" max="5129" width="1.6640625" customWidth="1"/>
    <col min="5132" max="5132" width="0" hidden="1" customWidth="1"/>
    <col min="5134" max="5135" width="1.88671875" customWidth="1"/>
    <col min="5137" max="5137" width="13.6640625" bestFit="1" customWidth="1"/>
    <col min="5138" max="5159" width="13.77734375" customWidth="1"/>
    <col min="5377" max="5381" width="9.77734375" customWidth="1"/>
    <col min="5382" max="5382" width="5.33203125" customWidth="1"/>
    <col min="5383" max="5385" width="1.6640625" customWidth="1"/>
    <col min="5388" max="5388" width="0" hidden="1" customWidth="1"/>
    <col min="5390" max="5391" width="1.88671875" customWidth="1"/>
    <col min="5393" max="5393" width="13.6640625" bestFit="1" customWidth="1"/>
    <col min="5394" max="5415" width="13.77734375" customWidth="1"/>
    <col min="5633" max="5637" width="9.77734375" customWidth="1"/>
    <col min="5638" max="5638" width="5.33203125" customWidth="1"/>
    <col min="5639" max="5641" width="1.6640625" customWidth="1"/>
    <col min="5644" max="5644" width="0" hidden="1" customWidth="1"/>
    <col min="5646" max="5647" width="1.88671875" customWidth="1"/>
    <col min="5649" max="5649" width="13.6640625" bestFit="1" customWidth="1"/>
    <col min="5650" max="5671" width="13.77734375" customWidth="1"/>
    <col min="5889" max="5893" width="9.77734375" customWidth="1"/>
    <col min="5894" max="5894" width="5.33203125" customWidth="1"/>
    <col min="5895" max="5897" width="1.6640625" customWidth="1"/>
    <col min="5900" max="5900" width="0" hidden="1" customWidth="1"/>
    <col min="5902" max="5903" width="1.88671875" customWidth="1"/>
    <col min="5905" max="5905" width="13.6640625" bestFit="1" customWidth="1"/>
    <col min="5906" max="5927" width="13.77734375" customWidth="1"/>
    <col min="6145" max="6149" width="9.77734375" customWidth="1"/>
    <col min="6150" max="6150" width="5.33203125" customWidth="1"/>
    <col min="6151" max="6153" width="1.6640625" customWidth="1"/>
    <col min="6156" max="6156" width="0" hidden="1" customWidth="1"/>
    <col min="6158" max="6159" width="1.88671875" customWidth="1"/>
    <col min="6161" max="6161" width="13.6640625" bestFit="1" customWidth="1"/>
    <col min="6162" max="6183" width="13.77734375" customWidth="1"/>
    <col min="6401" max="6405" width="9.77734375" customWidth="1"/>
    <col min="6406" max="6406" width="5.33203125" customWidth="1"/>
    <col min="6407" max="6409" width="1.6640625" customWidth="1"/>
    <col min="6412" max="6412" width="0" hidden="1" customWidth="1"/>
    <col min="6414" max="6415" width="1.88671875" customWidth="1"/>
    <col min="6417" max="6417" width="13.6640625" bestFit="1" customWidth="1"/>
    <col min="6418" max="6439" width="13.77734375" customWidth="1"/>
    <col min="6657" max="6661" width="9.77734375" customWidth="1"/>
    <col min="6662" max="6662" width="5.33203125" customWidth="1"/>
    <col min="6663" max="6665" width="1.6640625" customWidth="1"/>
    <col min="6668" max="6668" width="0" hidden="1" customWidth="1"/>
    <col min="6670" max="6671" width="1.88671875" customWidth="1"/>
    <col min="6673" max="6673" width="13.6640625" bestFit="1" customWidth="1"/>
    <col min="6674" max="6695" width="13.77734375" customWidth="1"/>
    <col min="6913" max="6917" width="9.77734375" customWidth="1"/>
    <col min="6918" max="6918" width="5.33203125" customWidth="1"/>
    <col min="6919" max="6921" width="1.6640625" customWidth="1"/>
    <col min="6924" max="6924" width="0" hidden="1" customWidth="1"/>
    <col min="6926" max="6927" width="1.88671875" customWidth="1"/>
    <col min="6929" max="6929" width="13.6640625" bestFit="1" customWidth="1"/>
    <col min="6930" max="6951" width="13.77734375" customWidth="1"/>
    <col min="7169" max="7173" width="9.77734375" customWidth="1"/>
    <col min="7174" max="7174" width="5.33203125" customWidth="1"/>
    <col min="7175" max="7177" width="1.6640625" customWidth="1"/>
    <col min="7180" max="7180" width="0" hidden="1" customWidth="1"/>
    <col min="7182" max="7183" width="1.88671875" customWidth="1"/>
    <col min="7185" max="7185" width="13.6640625" bestFit="1" customWidth="1"/>
    <col min="7186" max="7207" width="13.77734375" customWidth="1"/>
    <col min="7425" max="7429" width="9.77734375" customWidth="1"/>
    <col min="7430" max="7430" width="5.33203125" customWidth="1"/>
    <col min="7431" max="7433" width="1.6640625" customWidth="1"/>
    <col min="7436" max="7436" width="0" hidden="1" customWidth="1"/>
    <col min="7438" max="7439" width="1.88671875" customWidth="1"/>
    <col min="7441" max="7441" width="13.6640625" bestFit="1" customWidth="1"/>
    <col min="7442" max="7463" width="13.77734375" customWidth="1"/>
    <col min="7681" max="7685" width="9.77734375" customWidth="1"/>
    <col min="7686" max="7686" width="5.33203125" customWidth="1"/>
    <col min="7687" max="7689" width="1.6640625" customWidth="1"/>
    <col min="7692" max="7692" width="0" hidden="1" customWidth="1"/>
    <col min="7694" max="7695" width="1.88671875" customWidth="1"/>
    <col min="7697" max="7697" width="13.6640625" bestFit="1" customWidth="1"/>
    <col min="7698" max="7719" width="13.77734375" customWidth="1"/>
    <col min="7937" max="7941" width="9.77734375" customWidth="1"/>
    <col min="7942" max="7942" width="5.33203125" customWidth="1"/>
    <col min="7943" max="7945" width="1.6640625" customWidth="1"/>
    <col min="7948" max="7948" width="0" hidden="1" customWidth="1"/>
    <col min="7950" max="7951" width="1.88671875" customWidth="1"/>
    <col min="7953" max="7953" width="13.6640625" bestFit="1" customWidth="1"/>
    <col min="7954" max="7975" width="13.77734375" customWidth="1"/>
    <col min="8193" max="8197" width="9.77734375" customWidth="1"/>
    <col min="8198" max="8198" width="5.33203125" customWidth="1"/>
    <col min="8199" max="8201" width="1.6640625" customWidth="1"/>
    <col min="8204" max="8204" width="0" hidden="1" customWidth="1"/>
    <col min="8206" max="8207" width="1.88671875" customWidth="1"/>
    <col min="8209" max="8209" width="13.6640625" bestFit="1" customWidth="1"/>
    <col min="8210" max="8231" width="13.77734375" customWidth="1"/>
    <col min="8449" max="8453" width="9.77734375" customWidth="1"/>
    <col min="8454" max="8454" width="5.33203125" customWidth="1"/>
    <col min="8455" max="8457" width="1.6640625" customWidth="1"/>
    <col min="8460" max="8460" width="0" hidden="1" customWidth="1"/>
    <col min="8462" max="8463" width="1.88671875" customWidth="1"/>
    <col min="8465" max="8465" width="13.6640625" bestFit="1" customWidth="1"/>
    <col min="8466" max="8487" width="13.77734375" customWidth="1"/>
    <col min="8705" max="8709" width="9.77734375" customWidth="1"/>
    <col min="8710" max="8710" width="5.33203125" customWidth="1"/>
    <col min="8711" max="8713" width="1.6640625" customWidth="1"/>
    <col min="8716" max="8716" width="0" hidden="1" customWidth="1"/>
    <col min="8718" max="8719" width="1.88671875" customWidth="1"/>
    <col min="8721" max="8721" width="13.6640625" bestFit="1" customWidth="1"/>
    <col min="8722" max="8743" width="13.77734375" customWidth="1"/>
    <col min="8961" max="8965" width="9.77734375" customWidth="1"/>
    <col min="8966" max="8966" width="5.33203125" customWidth="1"/>
    <col min="8967" max="8969" width="1.6640625" customWidth="1"/>
    <col min="8972" max="8972" width="0" hidden="1" customWidth="1"/>
    <col min="8974" max="8975" width="1.88671875" customWidth="1"/>
    <col min="8977" max="8977" width="13.6640625" bestFit="1" customWidth="1"/>
    <col min="8978" max="8999" width="13.77734375" customWidth="1"/>
    <col min="9217" max="9221" width="9.77734375" customWidth="1"/>
    <col min="9222" max="9222" width="5.33203125" customWidth="1"/>
    <col min="9223" max="9225" width="1.6640625" customWidth="1"/>
    <col min="9228" max="9228" width="0" hidden="1" customWidth="1"/>
    <col min="9230" max="9231" width="1.88671875" customWidth="1"/>
    <col min="9233" max="9233" width="13.6640625" bestFit="1" customWidth="1"/>
    <col min="9234" max="9255" width="13.77734375" customWidth="1"/>
    <col min="9473" max="9477" width="9.77734375" customWidth="1"/>
    <col min="9478" max="9478" width="5.33203125" customWidth="1"/>
    <col min="9479" max="9481" width="1.6640625" customWidth="1"/>
    <col min="9484" max="9484" width="0" hidden="1" customWidth="1"/>
    <col min="9486" max="9487" width="1.88671875" customWidth="1"/>
    <col min="9489" max="9489" width="13.6640625" bestFit="1" customWidth="1"/>
    <col min="9490" max="9511" width="13.77734375" customWidth="1"/>
    <col min="9729" max="9733" width="9.77734375" customWidth="1"/>
    <col min="9734" max="9734" width="5.33203125" customWidth="1"/>
    <col min="9735" max="9737" width="1.6640625" customWidth="1"/>
    <col min="9740" max="9740" width="0" hidden="1" customWidth="1"/>
    <col min="9742" max="9743" width="1.88671875" customWidth="1"/>
    <col min="9745" max="9745" width="13.6640625" bestFit="1" customWidth="1"/>
    <col min="9746" max="9767" width="13.77734375" customWidth="1"/>
    <col min="9985" max="9989" width="9.77734375" customWidth="1"/>
    <col min="9990" max="9990" width="5.33203125" customWidth="1"/>
    <col min="9991" max="9993" width="1.6640625" customWidth="1"/>
    <col min="9996" max="9996" width="0" hidden="1" customWidth="1"/>
    <col min="9998" max="9999" width="1.88671875" customWidth="1"/>
    <col min="10001" max="10001" width="13.6640625" bestFit="1" customWidth="1"/>
    <col min="10002" max="10023" width="13.77734375" customWidth="1"/>
    <col min="10241" max="10245" width="9.77734375" customWidth="1"/>
    <col min="10246" max="10246" width="5.33203125" customWidth="1"/>
    <col min="10247" max="10249" width="1.6640625" customWidth="1"/>
    <col min="10252" max="10252" width="0" hidden="1" customWidth="1"/>
    <col min="10254" max="10255" width="1.88671875" customWidth="1"/>
    <col min="10257" max="10257" width="13.6640625" bestFit="1" customWidth="1"/>
    <col min="10258" max="10279" width="13.77734375" customWidth="1"/>
    <col min="10497" max="10501" width="9.77734375" customWidth="1"/>
    <col min="10502" max="10502" width="5.33203125" customWidth="1"/>
    <col min="10503" max="10505" width="1.6640625" customWidth="1"/>
    <col min="10508" max="10508" width="0" hidden="1" customWidth="1"/>
    <col min="10510" max="10511" width="1.88671875" customWidth="1"/>
    <col min="10513" max="10513" width="13.6640625" bestFit="1" customWidth="1"/>
    <col min="10514" max="10535" width="13.77734375" customWidth="1"/>
    <col min="10753" max="10757" width="9.77734375" customWidth="1"/>
    <col min="10758" max="10758" width="5.33203125" customWidth="1"/>
    <col min="10759" max="10761" width="1.6640625" customWidth="1"/>
    <col min="10764" max="10764" width="0" hidden="1" customWidth="1"/>
    <col min="10766" max="10767" width="1.88671875" customWidth="1"/>
    <col min="10769" max="10769" width="13.6640625" bestFit="1" customWidth="1"/>
    <col min="10770" max="10791" width="13.77734375" customWidth="1"/>
    <col min="11009" max="11013" width="9.77734375" customWidth="1"/>
    <col min="11014" max="11014" width="5.33203125" customWidth="1"/>
    <col min="11015" max="11017" width="1.6640625" customWidth="1"/>
    <col min="11020" max="11020" width="0" hidden="1" customWidth="1"/>
    <col min="11022" max="11023" width="1.88671875" customWidth="1"/>
    <col min="11025" max="11025" width="13.6640625" bestFit="1" customWidth="1"/>
    <col min="11026" max="11047" width="13.77734375" customWidth="1"/>
    <col min="11265" max="11269" width="9.77734375" customWidth="1"/>
    <col min="11270" max="11270" width="5.33203125" customWidth="1"/>
    <col min="11271" max="11273" width="1.6640625" customWidth="1"/>
    <col min="11276" max="11276" width="0" hidden="1" customWidth="1"/>
    <col min="11278" max="11279" width="1.88671875" customWidth="1"/>
    <col min="11281" max="11281" width="13.6640625" bestFit="1" customWidth="1"/>
    <col min="11282" max="11303" width="13.77734375" customWidth="1"/>
    <col min="11521" max="11525" width="9.77734375" customWidth="1"/>
    <col min="11526" max="11526" width="5.33203125" customWidth="1"/>
    <col min="11527" max="11529" width="1.6640625" customWidth="1"/>
    <col min="11532" max="11532" width="0" hidden="1" customWidth="1"/>
    <col min="11534" max="11535" width="1.88671875" customWidth="1"/>
    <col min="11537" max="11537" width="13.6640625" bestFit="1" customWidth="1"/>
    <col min="11538" max="11559" width="13.77734375" customWidth="1"/>
    <col min="11777" max="11781" width="9.77734375" customWidth="1"/>
    <col min="11782" max="11782" width="5.33203125" customWidth="1"/>
    <col min="11783" max="11785" width="1.6640625" customWidth="1"/>
    <col min="11788" max="11788" width="0" hidden="1" customWidth="1"/>
    <col min="11790" max="11791" width="1.88671875" customWidth="1"/>
    <col min="11793" max="11793" width="13.6640625" bestFit="1" customWidth="1"/>
    <col min="11794" max="11815" width="13.77734375" customWidth="1"/>
    <col min="12033" max="12037" width="9.77734375" customWidth="1"/>
    <col min="12038" max="12038" width="5.33203125" customWidth="1"/>
    <col min="12039" max="12041" width="1.6640625" customWidth="1"/>
    <col min="12044" max="12044" width="0" hidden="1" customWidth="1"/>
    <col min="12046" max="12047" width="1.88671875" customWidth="1"/>
    <col min="12049" max="12049" width="13.6640625" bestFit="1" customWidth="1"/>
    <col min="12050" max="12071" width="13.77734375" customWidth="1"/>
    <col min="12289" max="12293" width="9.77734375" customWidth="1"/>
    <col min="12294" max="12294" width="5.33203125" customWidth="1"/>
    <col min="12295" max="12297" width="1.6640625" customWidth="1"/>
    <col min="12300" max="12300" width="0" hidden="1" customWidth="1"/>
    <col min="12302" max="12303" width="1.88671875" customWidth="1"/>
    <col min="12305" max="12305" width="13.6640625" bestFit="1" customWidth="1"/>
    <col min="12306" max="12327" width="13.77734375" customWidth="1"/>
    <col min="12545" max="12549" width="9.77734375" customWidth="1"/>
    <col min="12550" max="12550" width="5.33203125" customWidth="1"/>
    <col min="12551" max="12553" width="1.6640625" customWidth="1"/>
    <col min="12556" max="12556" width="0" hidden="1" customWidth="1"/>
    <col min="12558" max="12559" width="1.88671875" customWidth="1"/>
    <col min="12561" max="12561" width="13.6640625" bestFit="1" customWidth="1"/>
    <col min="12562" max="12583" width="13.77734375" customWidth="1"/>
    <col min="12801" max="12805" width="9.77734375" customWidth="1"/>
    <col min="12806" max="12806" width="5.33203125" customWidth="1"/>
    <col min="12807" max="12809" width="1.6640625" customWidth="1"/>
    <col min="12812" max="12812" width="0" hidden="1" customWidth="1"/>
    <col min="12814" max="12815" width="1.88671875" customWidth="1"/>
    <col min="12817" max="12817" width="13.6640625" bestFit="1" customWidth="1"/>
    <col min="12818" max="12839" width="13.77734375" customWidth="1"/>
    <col min="13057" max="13061" width="9.77734375" customWidth="1"/>
    <col min="13062" max="13062" width="5.33203125" customWidth="1"/>
    <col min="13063" max="13065" width="1.6640625" customWidth="1"/>
    <col min="13068" max="13068" width="0" hidden="1" customWidth="1"/>
    <col min="13070" max="13071" width="1.88671875" customWidth="1"/>
    <col min="13073" max="13073" width="13.6640625" bestFit="1" customWidth="1"/>
    <col min="13074" max="13095" width="13.77734375" customWidth="1"/>
    <col min="13313" max="13317" width="9.77734375" customWidth="1"/>
    <col min="13318" max="13318" width="5.33203125" customWidth="1"/>
    <col min="13319" max="13321" width="1.6640625" customWidth="1"/>
    <col min="13324" max="13324" width="0" hidden="1" customWidth="1"/>
    <col min="13326" max="13327" width="1.88671875" customWidth="1"/>
    <col min="13329" max="13329" width="13.6640625" bestFit="1" customWidth="1"/>
    <col min="13330" max="13351" width="13.77734375" customWidth="1"/>
    <col min="13569" max="13573" width="9.77734375" customWidth="1"/>
    <col min="13574" max="13574" width="5.33203125" customWidth="1"/>
    <col min="13575" max="13577" width="1.6640625" customWidth="1"/>
    <col min="13580" max="13580" width="0" hidden="1" customWidth="1"/>
    <col min="13582" max="13583" width="1.88671875" customWidth="1"/>
    <col min="13585" max="13585" width="13.6640625" bestFit="1" customWidth="1"/>
    <col min="13586" max="13607" width="13.77734375" customWidth="1"/>
    <col min="13825" max="13829" width="9.77734375" customWidth="1"/>
    <col min="13830" max="13830" width="5.33203125" customWidth="1"/>
    <col min="13831" max="13833" width="1.6640625" customWidth="1"/>
    <col min="13836" max="13836" width="0" hidden="1" customWidth="1"/>
    <col min="13838" max="13839" width="1.88671875" customWidth="1"/>
    <col min="13841" max="13841" width="13.6640625" bestFit="1" customWidth="1"/>
    <col min="13842" max="13863" width="13.77734375" customWidth="1"/>
    <col min="14081" max="14085" width="9.77734375" customWidth="1"/>
    <col min="14086" max="14086" width="5.33203125" customWidth="1"/>
    <col min="14087" max="14089" width="1.6640625" customWidth="1"/>
    <col min="14092" max="14092" width="0" hidden="1" customWidth="1"/>
    <col min="14094" max="14095" width="1.88671875" customWidth="1"/>
    <col min="14097" max="14097" width="13.6640625" bestFit="1" customWidth="1"/>
    <col min="14098" max="14119" width="13.77734375" customWidth="1"/>
    <col min="14337" max="14341" width="9.77734375" customWidth="1"/>
    <col min="14342" max="14342" width="5.33203125" customWidth="1"/>
    <col min="14343" max="14345" width="1.6640625" customWidth="1"/>
    <col min="14348" max="14348" width="0" hidden="1" customWidth="1"/>
    <col min="14350" max="14351" width="1.88671875" customWidth="1"/>
    <col min="14353" max="14353" width="13.6640625" bestFit="1" customWidth="1"/>
    <col min="14354" max="14375" width="13.77734375" customWidth="1"/>
    <col min="14593" max="14597" width="9.77734375" customWidth="1"/>
    <col min="14598" max="14598" width="5.33203125" customWidth="1"/>
    <col min="14599" max="14601" width="1.6640625" customWidth="1"/>
    <col min="14604" max="14604" width="0" hidden="1" customWidth="1"/>
    <col min="14606" max="14607" width="1.88671875" customWidth="1"/>
    <col min="14609" max="14609" width="13.6640625" bestFit="1" customWidth="1"/>
    <col min="14610" max="14631" width="13.77734375" customWidth="1"/>
    <col min="14849" max="14853" width="9.77734375" customWidth="1"/>
    <col min="14854" max="14854" width="5.33203125" customWidth="1"/>
    <col min="14855" max="14857" width="1.6640625" customWidth="1"/>
    <col min="14860" max="14860" width="0" hidden="1" customWidth="1"/>
    <col min="14862" max="14863" width="1.88671875" customWidth="1"/>
    <col min="14865" max="14865" width="13.6640625" bestFit="1" customWidth="1"/>
    <col min="14866" max="14887" width="13.77734375" customWidth="1"/>
    <col min="15105" max="15109" width="9.77734375" customWidth="1"/>
    <col min="15110" max="15110" width="5.33203125" customWidth="1"/>
    <col min="15111" max="15113" width="1.6640625" customWidth="1"/>
    <col min="15116" max="15116" width="0" hidden="1" customWidth="1"/>
    <col min="15118" max="15119" width="1.88671875" customWidth="1"/>
    <col min="15121" max="15121" width="13.6640625" bestFit="1" customWidth="1"/>
    <col min="15122" max="15143" width="13.77734375" customWidth="1"/>
    <col min="15361" max="15365" width="9.77734375" customWidth="1"/>
    <col min="15366" max="15366" width="5.33203125" customWidth="1"/>
    <col min="15367" max="15369" width="1.6640625" customWidth="1"/>
    <col min="15372" max="15372" width="0" hidden="1" customWidth="1"/>
    <col min="15374" max="15375" width="1.88671875" customWidth="1"/>
    <col min="15377" max="15377" width="13.6640625" bestFit="1" customWidth="1"/>
    <col min="15378" max="15399" width="13.77734375" customWidth="1"/>
    <col min="15617" max="15621" width="9.77734375" customWidth="1"/>
    <col min="15622" max="15622" width="5.33203125" customWidth="1"/>
    <col min="15623" max="15625" width="1.6640625" customWidth="1"/>
    <col min="15628" max="15628" width="0" hidden="1" customWidth="1"/>
    <col min="15630" max="15631" width="1.88671875" customWidth="1"/>
    <col min="15633" max="15633" width="13.6640625" bestFit="1" customWidth="1"/>
    <col min="15634" max="15655" width="13.77734375" customWidth="1"/>
    <col min="15873" max="15877" width="9.77734375" customWidth="1"/>
    <col min="15878" max="15878" width="5.33203125" customWidth="1"/>
    <col min="15879" max="15881" width="1.6640625" customWidth="1"/>
    <col min="15884" max="15884" width="0" hidden="1" customWidth="1"/>
    <col min="15886" max="15887" width="1.88671875" customWidth="1"/>
    <col min="15889" max="15889" width="13.6640625" bestFit="1" customWidth="1"/>
    <col min="15890" max="15911" width="13.77734375" customWidth="1"/>
    <col min="16129" max="16133" width="9.77734375" customWidth="1"/>
    <col min="16134" max="16134" width="5.33203125" customWidth="1"/>
    <col min="16135" max="16137" width="1.6640625" customWidth="1"/>
    <col min="16140" max="16140" width="0" hidden="1" customWidth="1"/>
    <col min="16142" max="16143" width="1.88671875" customWidth="1"/>
    <col min="16145" max="16145" width="13.6640625" bestFit="1" customWidth="1"/>
    <col min="16146" max="16167" width="13.77734375" customWidth="1"/>
  </cols>
  <sheetData>
    <row r="1" spans="1:39" x14ac:dyDescent="0.25">
      <c r="A1" t="s">
        <v>0</v>
      </c>
      <c r="B1" t="s">
        <v>1</v>
      </c>
      <c r="C1" t="s">
        <v>2</v>
      </c>
      <c r="D1" t="s">
        <v>3</v>
      </c>
      <c r="E1" t="s">
        <v>4</v>
      </c>
      <c r="F1" t="s">
        <v>5</v>
      </c>
      <c r="G1" t="s">
        <v>6</v>
      </c>
      <c r="H1" t="s">
        <v>7</v>
      </c>
      <c r="I1" t="s">
        <v>8</v>
      </c>
      <c r="J1" t="s">
        <v>9</v>
      </c>
      <c r="K1" t="s">
        <v>10</v>
      </c>
      <c r="L1" t="s">
        <v>11</v>
      </c>
      <c r="M1" t="s">
        <v>12</v>
      </c>
      <c r="N1" t="s">
        <v>13</v>
      </c>
      <c r="O1" t="s">
        <v>14</v>
      </c>
      <c r="P1" t="s">
        <v>15</v>
      </c>
      <c r="Q1" s="44" t="s">
        <v>16</v>
      </c>
      <c r="R1" s="44" t="s">
        <v>877</v>
      </c>
      <c r="S1" s="44" t="s">
        <v>349</v>
      </c>
      <c r="T1" s="44" t="s">
        <v>350</v>
      </c>
      <c r="U1" s="44" t="s">
        <v>351</v>
      </c>
      <c r="V1" s="44" t="s">
        <v>17</v>
      </c>
      <c r="W1" s="326" t="s">
        <v>18</v>
      </c>
      <c r="X1" s="44" t="s">
        <v>19</v>
      </c>
      <c r="Y1" s="44" t="s">
        <v>20</v>
      </c>
      <c r="Z1" s="326" t="s">
        <v>21</v>
      </c>
      <c r="AA1" s="44" t="s">
        <v>22</v>
      </c>
      <c r="AB1" s="44" t="s">
        <v>23</v>
      </c>
      <c r="AC1" s="44" t="s">
        <v>352</v>
      </c>
      <c r="AD1" s="44" t="s">
        <v>25</v>
      </c>
      <c r="AE1" s="326" t="s">
        <v>24</v>
      </c>
      <c r="AF1" s="44" t="s">
        <v>353</v>
      </c>
      <c r="AG1" s="59" t="s">
        <v>695</v>
      </c>
      <c r="AH1" s="59" t="s">
        <v>696</v>
      </c>
      <c r="AI1" s="59" t="s">
        <v>697</v>
      </c>
      <c r="AJ1" s="59" t="s">
        <v>698</v>
      </c>
      <c r="AK1" s="59" t="s">
        <v>699</v>
      </c>
      <c r="AL1" s="59" t="s">
        <v>700</v>
      </c>
      <c r="AM1" s="59" t="s">
        <v>701</v>
      </c>
    </row>
    <row r="2" spans="1:39" hidden="1" x14ac:dyDescent="0.25">
      <c r="A2" t="s">
        <v>354</v>
      </c>
      <c r="B2" t="s">
        <v>355</v>
      </c>
      <c r="C2" t="s">
        <v>356</v>
      </c>
      <c r="D2" t="s">
        <v>357</v>
      </c>
      <c r="E2" t="s">
        <v>358</v>
      </c>
      <c r="F2" t="s">
        <v>26</v>
      </c>
      <c r="G2" t="s">
        <v>359</v>
      </c>
      <c r="H2" t="s">
        <v>33</v>
      </c>
      <c r="I2" t="s">
        <v>360</v>
      </c>
      <c r="J2" t="s">
        <v>361</v>
      </c>
      <c r="K2" t="s">
        <v>362</v>
      </c>
      <c r="L2" t="s">
        <v>363</v>
      </c>
      <c r="M2" t="s">
        <v>362</v>
      </c>
      <c r="N2">
        <v>7893</v>
      </c>
      <c r="O2">
        <v>1</v>
      </c>
      <c r="P2" t="s">
        <v>364</v>
      </c>
      <c r="Q2" s="44">
        <v>125000000</v>
      </c>
      <c r="R2" s="44">
        <v>0</v>
      </c>
      <c r="S2" s="44">
        <v>0</v>
      </c>
      <c r="T2" s="44">
        <v>0</v>
      </c>
      <c r="U2" s="44">
        <v>0</v>
      </c>
      <c r="V2" s="44">
        <v>125000000</v>
      </c>
      <c r="W2" s="44">
        <v>124427349</v>
      </c>
      <c r="X2" s="44">
        <v>124427349</v>
      </c>
      <c r="Y2" s="44">
        <v>572651</v>
      </c>
      <c r="Z2" s="44">
        <v>124427349</v>
      </c>
      <c r="AA2" s="44">
        <v>0</v>
      </c>
      <c r="AB2" s="44">
        <v>572651</v>
      </c>
      <c r="AE2" s="44">
        <v>124427349</v>
      </c>
      <c r="AF2" s="44">
        <v>34540010</v>
      </c>
      <c r="AG2" s="44">
        <v>-572591</v>
      </c>
      <c r="AH2" s="44">
        <v>0</v>
      </c>
      <c r="AI2" s="44">
        <v>34540010</v>
      </c>
      <c r="AJ2" s="44">
        <v>34540010</v>
      </c>
      <c r="AK2" s="44">
        <f>X2-Z2</f>
        <v>0</v>
      </c>
      <c r="AL2" s="44">
        <f>Z2-W2</f>
        <v>0</v>
      </c>
      <c r="AM2" s="44">
        <f>W2-AE2</f>
        <v>0</v>
      </c>
    </row>
    <row r="3" spans="1:39" hidden="1" x14ac:dyDescent="0.25">
      <c r="A3" t="s">
        <v>354</v>
      </c>
      <c r="B3" t="s">
        <v>355</v>
      </c>
      <c r="C3" t="s">
        <v>356</v>
      </c>
      <c r="D3" t="s">
        <v>357</v>
      </c>
      <c r="E3" t="s">
        <v>365</v>
      </c>
      <c r="F3" t="s">
        <v>26</v>
      </c>
      <c r="G3" t="s">
        <v>359</v>
      </c>
      <c r="H3" t="s">
        <v>33</v>
      </c>
      <c r="I3" t="s">
        <v>360</v>
      </c>
      <c r="J3" t="s">
        <v>361</v>
      </c>
      <c r="K3" t="s">
        <v>366</v>
      </c>
      <c r="L3" t="s">
        <v>363</v>
      </c>
      <c r="M3" t="s">
        <v>366</v>
      </c>
      <c r="N3">
        <v>7894</v>
      </c>
      <c r="O3">
        <v>2</v>
      </c>
      <c r="P3" t="s">
        <v>367</v>
      </c>
      <c r="Q3" s="44">
        <v>155000000</v>
      </c>
      <c r="R3" s="44">
        <v>0</v>
      </c>
      <c r="S3" s="44">
        <v>0</v>
      </c>
      <c r="T3" s="44">
        <v>0</v>
      </c>
      <c r="U3" s="44">
        <v>0</v>
      </c>
      <c r="V3" s="44">
        <v>155000000</v>
      </c>
      <c r="W3" s="44">
        <v>0</v>
      </c>
      <c r="X3" s="44">
        <v>0</v>
      </c>
      <c r="Y3" s="44">
        <v>155000000</v>
      </c>
      <c r="Z3" s="44">
        <v>0</v>
      </c>
      <c r="AA3" s="44">
        <v>0</v>
      </c>
      <c r="AB3" s="44">
        <v>155000000</v>
      </c>
      <c r="AE3" s="44">
        <v>0</v>
      </c>
      <c r="AF3" s="44">
        <v>0</v>
      </c>
      <c r="AG3" s="44">
        <v>0</v>
      </c>
      <c r="AH3" s="44">
        <v>0</v>
      </c>
      <c r="AI3" s="44">
        <v>0</v>
      </c>
      <c r="AJ3" s="44">
        <v>0</v>
      </c>
      <c r="AK3" s="44">
        <f t="shared" ref="AK3:AK66" si="0">X3-Z3</f>
        <v>0</v>
      </c>
      <c r="AL3" s="44">
        <f t="shared" ref="AL3:AL66" si="1">Z3-W3</f>
        <v>0</v>
      </c>
      <c r="AM3" s="44">
        <f t="shared" ref="AM3:AM66" si="2">W3-AE3</f>
        <v>0</v>
      </c>
    </row>
    <row r="4" spans="1:39" hidden="1" x14ac:dyDescent="0.25">
      <c r="A4" t="s">
        <v>354</v>
      </c>
      <c r="B4" t="s">
        <v>355</v>
      </c>
      <c r="C4" t="s">
        <v>356</v>
      </c>
      <c r="D4" t="s">
        <v>357</v>
      </c>
      <c r="E4" t="s">
        <v>368</v>
      </c>
      <c r="F4" t="s">
        <v>26</v>
      </c>
      <c r="G4" t="s">
        <v>359</v>
      </c>
      <c r="H4" t="s">
        <v>33</v>
      </c>
      <c r="I4" t="s">
        <v>360</v>
      </c>
      <c r="J4" t="s">
        <v>361</v>
      </c>
      <c r="K4" t="s">
        <v>369</v>
      </c>
      <c r="L4" t="s">
        <v>363</v>
      </c>
      <c r="M4" t="s">
        <v>369</v>
      </c>
      <c r="N4">
        <v>7895</v>
      </c>
      <c r="O4">
        <v>3</v>
      </c>
      <c r="P4" t="s">
        <v>370</v>
      </c>
      <c r="Q4" s="44">
        <v>175376928</v>
      </c>
      <c r="R4" s="44">
        <v>0</v>
      </c>
      <c r="S4" s="44">
        <v>0</v>
      </c>
      <c r="T4" s="44">
        <v>0</v>
      </c>
      <c r="U4" s="44">
        <v>0</v>
      </c>
      <c r="V4" s="44">
        <v>175376928</v>
      </c>
      <c r="W4" s="44">
        <v>163262720</v>
      </c>
      <c r="X4" s="44">
        <v>163262720</v>
      </c>
      <c r="Y4" s="44">
        <v>12114208</v>
      </c>
      <c r="Z4" s="44">
        <v>163262720</v>
      </c>
      <c r="AA4" s="44">
        <v>0</v>
      </c>
      <c r="AB4" s="44">
        <v>12114208</v>
      </c>
      <c r="AE4" s="44">
        <v>143262720</v>
      </c>
      <c r="AF4" s="44">
        <v>81940000</v>
      </c>
      <c r="AG4" s="44">
        <v>-9960000</v>
      </c>
      <c r="AH4" s="44">
        <v>0</v>
      </c>
      <c r="AI4" s="44">
        <v>81940000</v>
      </c>
      <c r="AJ4" s="44">
        <v>61940000</v>
      </c>
      <c r="AK4" s="44">
        <f t="shared" si="0"/>
        <v>0</v>
      </c>
      <c r="AL4" s="44">
        <f t="shared" si="1"/>
        <v>0</v>
      </c>
      <c r="AM4" s="44">
        <f t="shared" si="2"/>
        <v>20000000</v>
      </c>
    </row>
    <row r="5" spans="1:39" hidden="1" x14ac:dyDescent="0.25">
      <c r="A5" t="s">
        <v>354</v>
      </c>
      <c r="B5" t="s">
        <v>355</v>
      </c>
      <c r="C5" t="s">
        <v>356</v>
      </c>
      <c r="D5" t="s">
        <v>357</v>
      </c>
      <c r="E5" t="s">
        <v>371</v>
      </c>
      <c r="F5" t="s">
        <v>26</v>
      </c>
      <c r="G5" t="s">
        <v>359</v>
      </c>
      <c r="H5" t="s">
        <v>33</v>
      </c>
      <c r="I5" t="s">
        <v>360</v>
      </c>
      <c r="J5" t="s">
        <v>361</v>
      </c>
      <c r="K5" t="s">
        <v>372</v>
      </c>
      <c r="L5" t="s">
        <v>363</v>
      </c>
      <c r="M5" t="s">
        <v>372</v>
      </c>
      <c r="N5">
        <v>7896</v>
      </c>
      <c r="O5">
        <v>4</v>
      </c>
      <c r="P5" t="s">
        <v>373</v>
      </c>
      <c r="Q5" s="44">
        <v>5000000</v>
      </c>
      <c r="R5" s="44">
        <v>0</v>
      </c>
      <c r="S5" s="44">
        <v>0</v>
      </c>
      <c r="T5" s="44">
        <v>0</v>
      </c>
      <c r="U5" s="44">
        <v>0</v>
      </c>
      <c r="V5" s="44">
        <v>5000000</v>
      </c>
      <c r="W5" s="44">
        <v>5000000</v>
      </c>
      <c r="X5" s="44">
        <v>5000000</v>
      </c>
      <c r="Y5" s="44">
        <v>0</v>
      </c>
      <c r="Z5" s="44">
        <v>5000000</v>
      </c>
      <c r="AA5" s="44">
        <v>0</v>
      </c>
      <c r="AB5" s="44">
        <v>0</v>
      </c>
      <c r="AE5" s="44">
        <v>5000000</v>
      </c>
      <c r="AF5" s="44">
        <v>0</v>
      </c>
      <c r="AG5" s="44">
        <v>0</v>
      </c>
      <c r="AH5" s="44">
        <v>0</v>
      </c>
      <c r="AI5" s="44">
        <v>0</v>
      </c>
      <c r="AJ5" s="44">
        <v>0</v>
      </c>
      <c r="AK5" s="44">
        <f t="shared" si="0"/>
        <v>0</v>
      </c>
      <c r="AL5" s="44">
        <f t="shared" si="1"/>
        <v>0</v>
      </c>
      <c r="AM5" s="44">
        <f t="shared" si="2"/>
        <v>0</v>
      </c>
    </row>
    <row r="6" spans="1:39" hidden="1" x14ac:dyDescent="0.25">
      <c r="A6" t="s">
        <v>354</v>
      </c>
      <c r="B6" t="s">
        <v>355</v>
      </c>
      <c r="C6" t="s">
        <v>356</v>
      </c>
      <c r="D6" t="s">
        <v>357</v>
      </c>
      <c r="E6" t="s">
        <v>374</v>
      </c>
      <c r="F6" t="s">
        <v>26</v>
      </c>
      <c r="G6" t="s">
        <v>359</v>
      </c>
      <c r="H6" t="s">
        <v>33</v>
      </c>
      <c r="I6" t="s">
        <v>360</v>
      </c>
      <c r="J6" t="s">
        <v>361</v>
      </c>
      <c r="K6" t="s">
        <v>375</v>
      </c>
      <c r="L6" t="s">
        <v>363</v>
      </c>
      <c r="M6" t="s">
        <v>375</v>
      </c>
      <c r="N6">
        <v>7897</v>
      </c>
      <c r="O6">
        <v>5</v>
      </c>
      <c r="P6" t="s">
        <v>376</v>
      </c>
      <c r="Q6" s="44">
        <v>5000000</v>
      </c>
      <c r="R6" s="44">
        <v>0</v>
      </c>
      <c r="S6" s="44">
        <v>0</v>
      </c>
      <c r="T6" s="44">
        <v>0</v>
      </c>
      <c r="U6" s="44">
        <v>0</v>
      </c>
      <c r="V6" s="44">
        <v>5000000</v>
      </c>
      <c r="W6" s="44">
        <v>0</v>
      </c>
      <c r="X6" s="44">
        <v>0</v>
      </c>
      <c r="Y6" s="44">
        <v>5000000</v>
      </c>
      <c r="Z6" s="44">
        <v>0</v>
      </c>
      <c r="AA6" s="44">
        <v>0</v>
      </c>
      <c r="AB6" s="44">
        <v>5000000</v>
      </c>
      <c r="AE6" s="44">
        <v>0</v>
      </c>
      <c r="AF6" s="44">
        <v>0</v>
      </c>
      <c r="AG6" s="44">
        <v>0</v>
      </c>
      <c r="AH6" s="44">
        <v>0</v>
      </c>
      <c r="AI6" s="44">
        <v>0</v>
      </c>
      <c r="AJ6" s="44">
        <v>0</v>
      </c>
      <c r="AK6" s="44">
        <f t="shared" si="0"/>
        <v>0</v>
      </c>
      <c r="AL6" s="44">
        <f t="shared" si="1"/>
        <v>0</v>
      </c>
      <c r="AM6" s="44">
        <f t="shared" si="2"/>
        <v>0</v>
      </c>
    </row>
    <row r="7" spans="1:39" hidden="1" x14ac:dyDescent="0.25">
      <c r="A7" t="s">
        <v>354</v>
      </c>
      <c r="B7" t="s">
        <v>355</v>
      </c>
      <c r="C7" t="s">
        <v>356</v>
      </c>
      <c r="D7" t="s">
        <v>357</v>
      </c>
      <c r="E7" t="s">
        <v>377</v>
      </c>
      <c r="F7" t="s">
        <v>26</v>
      </c>
      <c r="G7" t="s">
        <v>359</v>
      </c>
      <c r="H7" t="s">
        <v>33</v>
      </c>
      <c r="I7" t="s">
        <v>360</v>
      </c>
      <c r="J7" t="s">
        <v>361</v>
      </c>
      <c r="K7" t="s">
        <v>378</v>
      </c>
      <c r="L7" t="s">
        <v>363</v>
      </c>
      <c r="M7" t="s">
        <v>378</v>
      </c>
      <c r="N7">
        <v>7898</v>
      </c>
      <c r="O7">
        <v>6</v>
      </c>
      <c r="P7" t="s">
        <v>379</v>
      </c>
      <c r="Q7" s="44">
        <v>100000000</v>
      </c>
      <c r="R7" s="44">
        <v>0</v>
      </c>
      <c r="S7" s="44">
        <v>0</v>
      </c>
      <c r="T7" s="44">
        <v>0</v>
      </c>
      <c r="U7" s="44">
        <v>0</v>
      </c>
      <c r="V7" s="44">
        <v>100000000</v>
      </c>
      <c r="W7" s="44">
        <v>96000000</v>
      </c>
      <c r="X7" s="44">
        <v>96000000</v>
      </c>
      <c r="Y7" s="44">
        <v>4000000</v>
      </c>
      <c r="Z7" s="44">
        <v>96000000</v>
      </c>
      <c r="AA7" s="44">
        <v>0</v>
      </c>
      <c r="AB7" s="44">
        <v>4000000</v>
      </c>
      <c r="AE7" s="44">
        <v>96000000</v>
      </c>
      <c r="AF7" s="44">
        <v>28800000</v>
      </c>
      <c r="AG7" s="44">
        <v>0</v>
      </c>
      <c r="AH7" s="44">
        <v>0</v>
      </c>
      <c r="AI7" s="44">
        <v>28800000</v>
      </c>
      <c r="AJ7" s="44">
        <v>28800000</v>
      </c>
      <c r="AK7" s="44">
        <f t="shared" si="0"/>
        <v>0</v>
      </c>
      <c r="AL7" s="44">
        <f t="shared" si="1"/>
        <v>0</v>
      </c>
      <c r="AM7" s="44">
        <f t="shared" si="2"/>
        <v>0</v>
      </c>
    </row>
    <row r="8" spans="1:39" hidden="1" x14ac:dyDescent="0.25">
      <c r="A8" t="s">
        <v>354</v>
      </c>
      <c r="B8" t="s">
        <v>355</v>
      </c>
      <c r="C8" t="s">
        <v>356</v>
      </c>
      <c r="D8" t="s">
        <v>357</v>
      </c>
      <c r="E8" t="s">
        <v>399</v>
      </c>
      <c r="F8" t="s">
        <v>26</v>
      </c>
      <c r="G8" t="s">
        <v>359</v>
      </c>
      <c r="H8" t="s">
        <v>33</v>
      </c>
      <c r="I8" t="s">
        <v>360</v>
      </c>
      <c r="J8" t="s">
        <v>361</v>
      </c>
      <c r="K8" t="s">
        <v>400</v>
      </c>
      <c r="L8" t="s">
        <v>363</v>
      </c>
      <c r="M8" t="s">
        <v>400</v>
      </c>
      <c r="N8">
        <v>8040</v>
      </c>
      <c r="O8">
        <v>119</v>
      </c>
      <c r="P8" t="s">
        <v>968</v>
      </c>
      <c r="Q8" s="44">
        <v>0</v>
      </c>
      <c r="R8" s="44">
        <v>100000000</v>
      </c>
      <c r="S8" s="44">
        <v>0</v>
      </c>
      <c r="T8" s="44">
        <v>0</v>
      </c>
      <c r="U8" s="44">
        <v>0</v>
      </c>
      <c r="V8" s="44">
        <v>100000000</v>
      </c>
      <c r="W8" s="44">
        <v>90175504</v>
      </c>
      <c r="X8" s="44">
        <v>90175504</v>
      </c>
      <c r="Y8" s="44">
        <v>9824496</v>
      </c>
      <c r="Z8" s="44">
        <v>90175504</v>
      </c>
      <c r="AA8" s="44">
        <v>0</v>
      </c>
      <c r="AB8" s="44">
        <v>9824496</v>
      </c>
      <c r="AE8" s="44">
        <v>53423218</v>
      </c>
      <c r="AF8" s="44">
        <v>90175504</v>
      </c>
      <c r="AG8" s="44">
        <v>-9824496</v>
      </c>
      <c r="AH8" s="44" t="s">
        <v>256</v>
      </c>
      <c r="AI8" s="44">
        <v>90175504</v>
      </c>
      <c r="AJ8" s="44">
        <v>53423218</v>
      </c>
      <c r="AK8" s="44">
        <f t="shared" si="0"/>
        <v>0</v>
      </c>
      <c r="AL8" s="44">
        <f t="shared" si="1"/>
        <v>0</v>
      </c>
      <c r="AM8" s="44">
        <f t="shared" si="2"/>
        <v>36752286</v>
      </c>
    </row>
    <row r="9" spans="1:39" hidden="1" x14ac:dyDescent="0.25">
      <c r="A9" t="s">
        <v>354</v>
      </c>
      <c r="B9" t="s">
        <v>355</v>
      </c>
      <c r="C9" t="s">
        <v>380</v>
      </c>
      <c r="D9" t="s">
        <v>381</v>
      </c>
      <c r="E9" t="s">
        <v>382</v>
      </c>
      <c r="F9" t="s">
        <v>26</v>
      </c>
      <c r="G9" t="s">
        <v>359</v>
      </c>
      <c r="H9" t="s">
        <v>33</v>
      </c>
      <c r="I9" t="s">
        <v>383</v>
      </c>
      <c r="J9" t="s">
        <v>384</v>
      </c>
      <c r="K9" t="s">
        <v>385</v>
      </c>
      <c r="L9" t="s">
        <v>363</v>
      </c>
      <c r="M9" t="s">
        <v>385</v>
      </c>
      <c r="N9">
        <v>7899</v>
      </c>
      <c r="O9">
        <v>7</v>
      </c>
      <c r="P9" t="s">
        <v>386</v>
      </c>
      <c r="Q9" s="44">
        <v>195000000</v>
      </c>
      <c r="R9" s="44">
        <v>0</v>
      </c>
      <c r="S9" s="44">
        <v>0</v>
      </c>
      <c r="T9" s="44">
        <v>0</v>
      </c>
      <c r="U9" s="44">
        <v>0</v>
      </c>
      <c r="V9" s="44">
        <v>195000000</v>
      </c>
      <c r="W9" s="44">
        <v>192680000</v>
      </c>
      <c r="X9" s="44">
        <v>192680000</v>
      </c>
      <c r="Y9" s="44">
        <v>2320000</v>
      </c>
      <c r="Z9" s="44">
        <v>192680000</v>
      </c>
      <c r="AA9" s="44">
        <v>0</v>
      </c>
      <c r="AB9" s="44">
        <v>2320000</v>
      </c>
      <c r="AE9" s="44">
        <v>192680000</v>
      </c>
      <c r="AF9" s="44">
        <v>0</v>
      </c>
      <c r="AG9" s="44">
        <v>-525000</v>
      </c>
      <c r="AH9" s="44" t="s">
        <v>256</v>
      </c>
      <c r="AI9" s="44">
        <v>0</v>
      </c>
      <c r="AJ9" s="44">
        <v>0</v>
      </c>
      <c r="AK9" s="44">
        <f t="shared" si="0"/>
        <v>0</v>
      </c>
      <c r="AL9" s="44">
        <f t="shared" si="1"/>
        <v>0</v>
      </c>
      <c r="AM9" s="44">
        <f t="shared" si="2"/>
        <v>0</v>
      </c>
    </row>
    <row r="10" spans="1:39" hidden="1" x14ac:dyDescent="0.25">
      <c r="A10" t="s">
        <v>354</v>
      </c>
      <c r="B10" t="s">
        <v>355</v>
      </c>
      <c r="C10" t="s">
        <v>380</v>
      </c>
      <c r="D10" t="s">
        <v>381</v>
      </c>
      <c r="E10" t="s">
        <v>387</v>
      </c>
      <c r="F10" t="s">
        <v>26</v>
      </c>
      <c r="G10" t="s">
        <v>359</v>
      </c>
      <c r="H10" t="s">
        <v>33</v>
      </c>
      <c r="I10" t="s">
        <v>383</v>
      </c>
      <c r="J10" t="s">
        <v>384</v>
      </c>
      <c r="K10" t="s">
        <v>388</v>
      </c>
      <c r="L10" t="s">
        <v>363</v>
      </c>
      <c r="M10" t="s">
        <v>388</v>
      </c>
      <c r="N10">
        <v>7900</v>
      </c>
      <c r="O10">
        <v>8</v>
      </c>
      <c r="P10" t="s">
        <v>389</v>
      </c>
      <c r="Q10" s="44">
        <v>5000000</v>
      </c>
      <c r="R10" s="44">
        <v>100000000</v>
      </c>
      <c r="S10" s="44">
        <v>0</v>
      </c>
      <c r="T10" s="44">
        <v>0</v>
      </c>
      <c r="U10" s="44">
        <v>0</v>
      </c>
      <c r="V10" s="44">
        <v>105000000</v>
      </c>
      <c r="W10" s="44">
        <v>105000000</v>
      </c>
      <c r="X10" s="44">
        <v>105000000</v>
      </c>
      <c r="Y10" s="44">
        <v>0</v>
      </c>
      <c r="Z10" s="44">
        <v>105000000</v>
      </c>
      <c r="AA10" s="44">
        <v>0</v>
      </c>
      <c r="AB10" s="44">
        <v>0</v>
      </c>
      <c r="AE10" s="44">
        <v>105000000</v>
      </c>
      <c r="AF10" s="44">
        <v>10157619</v>
      </c>
      <c r="AG10" s="44">
        <v>0</v>
      </c>
      <c r="AH10" s="44">
        <v>0</v>
      </c>
      <c r="AI10" s="44">
        <v>10157619</v>
      </c>
      <c r="AJ10" s="44">
        <v>10157619</v>
      </c>
      <c r="AK10" s="44">
        <f t="shared" si="0"/>
        <v>0</v>
      </c>
      <c r="AL10" s="44">
        <f t="shared" si="1"/>
        <v>0</v>
      </c>
      <c r="AM10" s="44">
        <f t="shared" si="2"/>
        <v>0</v>
      </c>
    </row>
    <row r="11" spans="1:39" hidden="1" x14ac:dyDescent="0.25">
      <c r="A11" t="s">
        <v>354</v>
      </c>
      <c r="B11" t="s">
        <v>355</v>
      </c>
      <c r="C11" t="s">
        <v>380</v>
      </c>
      <c r="D11" t="s">
        <v>381</v>
      </c>
      <c r="E11" t="s">
        <v>390</v>
      </c>
      <c r="F11" t="s">
        <v>26</v>
      </c>
      <c r="G11" t="s">
        <v>359</v>
      </c>
      <c r="H11" t="s">
        <v>33</v>
      </c>
      <c r="I11" t="s">
        <v>383</v>
      </c>
      <c r="J11" t="s">
        <v>384</v>
      </c>
      <c r="K11" t="s">
        <v>391</v>
      </c>
      <c r="L11" t="s">
        <v>363</v>
      </c>
      <c r="M11" t="s">
        <v>391</v>
      </c>
      <c r="N11">
        <v>7901</v>
      </c>
      <c r="O11">
        <v>9</v>
      </c>
      <c r="P11" t="s">
        <v>392</v>
      </c>
      <c r="Q11" s="44">
        <v>330937618</v>
      </c>
      <c r="R11" s="44">
        <v>0</v>
      </c>
      <c r="S11" s="44">
        <v>0</v>
      </c>
      <c r="T11" s="44">
        <v>0</v>
      </c>
      <c r="U11" s="44">
        <v>48000000</v>
      </c>
      <c r="V11" s="44">
        <v>282937618</v>
      </c>
      <c r="W11" s="44">
        <v>250349798</v>
      </c>
      <c r="X11" s="44">
        <v>250349798</v>
      </c>
      <c r="Y11" s="44">
        <v>32587820</v>
      </c>
      <c r="Z11" s="44">
        <v>250349798</v>
      </c>
      <c r="AA11" s="44">
        <v>0</v>
      </c>
      <c r="AB11" s="44">
        <v>32587820</v>
      </c>
      <c r="AE11" s="44">
        <v>250349798</v>
      </c>
      <c r="AF11" s="44">
        <v>70839878</v>
      </c>
      <c r="AG11" s="44">
        <v>-16500001</v>
      </c>
      <c r="AH11" s="44" t="s">
        <v>256</v>
      </c>
      <c r="AI11" s="44">
        <v>70839878</v>
      </c>
      <c r="AJ11" s="44">
        <v>70839878</v>
      </c>
      <c r="AK11" s="44">
        <f t="shared" si="0"/>
        <v>0</v>
      </c>
      <c r="AL11" s="44">
        <f t="shared" si="1"/>
        <v>0</v>
      </c>
      <c r="AM11" s="44">
        <f t="shared" si="2"/>
        <v>0</v>
      </c>
    </row>
    <row r="12" spans="1:39" hidden="1" x14ac:dyDescent="0.25">
      <c r="A12" t="s">
        <v>354</v>
      </c>
      <c r="B12" t="s">
        <v>355</v>
      </c>
      <c r="C12" t="s">
        <v>380</v>
      </c>
      <c r="D12" t="s">
        <v>381</v>
      </c>
      <c r="E12" t="s">
        <v>414</v>
      </c>
      <c r="F12" t="s">
        <v>26</v>
      </c>
      <c r="G12" t="s">
        <v>359</v>
      </c>
      <c r="H12" t="s">
        <v>33</v>
      </c>
      <c r="I12" t="s">
        <v>383</v>
      </c>
      <c r="J12" t="s">
        <v>384</v>
      </c>
      <c r="K12" t="s">
        <v>415</v>
      </c>
      <c r="L12" t="s">
        <v>363</v>
      </c>
      <c r="M12" t="s">
        <v>415</v>
      </c>
      <c r="N12">
        <v>7981</v>
      </c>
      <c r="O12">
        <v>80</v>
      </c>
      <c r="P12" t="s">
        <v>829</v>
      </c>
      <c r="Q12" s="44">
        <v>0</v>
      </c>
      <c r="R12" s="44">
        <v>0</v>
      </c>
      <c r="S12" s="44">
        <v>0</v>
      </c>
      <c r="T12" s="44">
        <v>48000000</v>
      </c>
      <c r="U12" s="44">
        <v>0</v>
      </c>
      <c r="V12" s="44">
        <v>48000000</v>
      </c>
      <c r="W12" s="44">
        <v>47284000</v>
      </c>
      <c r="X12" s="44">
        <v>47284000</v>
      </c>
      <c r="Y12" s="44">
        <v>716000</v>
      </c>
      <c r="Z12" s="44">
        <v>47284000</v>
      </c>
      <c r="AA12" s="44">
        <v>0</v>
      </c>
      <c r="AB12" s="44">
        <v>716000</v>
      </c>
      <c r="AE12" s="44">
        <v>47284000</v>
      </c>
      <c r="AF12" s="44">
        <v>28800000</v>
      </c>
      <c r="AG12" s="44">
        <v>0</v>
      </c>
      <c r="AH12" s="44">
        <v>0</v>
      </c>
      <c r="AI12" s="44">
        <v>28800000</v>
      </c>
      <c r="AJ12" s="44">
        <v>28800000</v>
      </c>
      <c r="AK12" s="44">
        <f t="shared" si="0"/>
        <v>0</v>
      </c>
      <c r="AL12" s="44">
        <f t="shared" si="1"/>
        <v>0</v>
      </c>
      <c r="AM12" s="44">
        <f t="shared" si="2"/>
        <v>0</v>
      </c>
    </row>
    <row r="13" spans="1:39" hidden="1" x14ac:dyDescent="0.25">
      <c r="A13" t="s">
        <v>354</v>
      </c>
      <c r="B13" t="s">
        <v>393</v>
      </c>
      <c r="C13" t="s">
        <v>356</v>
      </c>
      <c r="D13" t="s">
        <v>357</v>
      </c>
      <c r="E13" t="s">
        <v>368</v>
      </c>
      <c r="F13" t="s">
        <v>26</v>
      </c>
      <c r="G13" t="s">
        <v>359</v>
      </c>
      <c r="H13" t="s">
        <v>394</v>
      </c>
      <c r="I13" t="s">
        <v>360</v>
      </c>
      <c r="J13" t="s">
        <v>361</v>
      </c>
      <c r="K13" t="s">
        <v>369</v>
      </c>
      <c r="L13" t="s">
        <v>363</v>
      </c>
      <c r="M13" t="s">
        <v>369</v>
      </c>
      <c r="N13">
        <v>7902</v>
      </c>
      <c r="O13">
        <v>10</v>
      </c>
      <c r="P13" t="s">
        <v>395</v>
      </c>
      <c r="Q13" s="44">
        <v>65997280</v>
      </c>
      <c r="R13" s="44">
        <v>0</v>
      </c>
      <c r="S13" s="44">
        <v>0</v>
      </c>
      <c r="T13" s="44">
        <v>0</v>
      </c>
      <c r="U13" s="44">
        <v>0</v>
      </c>
      <c r="V13" s="44">
        <v>65997280</v>
      </c>
      <c r="W13" s="44">
        <v>65997280</v>
      </c>
      <c r="X13" s="44">
        <v>65997280</v>
      </c>
      <c r="Y13" s="44">
        <v>0</v>
      </c>
      <c r="Z13" s="44">
        <v>65997280</v>
      </c>
      <c r="AA13" s="44">
        <v>0</v>
      </c>
      <c r="AB13" s="44">
        <v>0</v>
      </c>
      <c r="AE13" s="44">
        <v>44037280</v>
      </c>
      <c r="AF13" s="44">
        <v>33840000</v>
      </c>
      <c r="AG13" s="44">
        <v>0</v>
      </c>
      <c r="AH13" s="44">
        <v>0</v>
      </c>
      <c r="AI13" s="44">
        <v>33840000</v>
      </c>
      <c r="AJ13" s="44">
        <v>11880000</v>
      </c>
      <c r="AK13" s="44">
        <f t="shared" si="0"/>
        <v>0</v>
      </c>
      <c r="AL13" s="44">
        <f t="shared" si="1"/>
        <v>0</v>
      </c>
      <c r="AM13" s="44">
        <f t="shared" si="2"/>
        <v>21960000</v>
      </c>
    </row>
    <row r="14" spans="1:39" hidden="1" x14ac:dyDescent="0.25">
      <c r="A14" t="s">
        <v>354</v>
      </c>
      <c r="B14" t="s">
        <v>393</v>
      </c>
      <c r="C14" t="s">
        <v>356</v>
      </c>
      <c r="D14" t="s">
        <v>357</v>
      </c>
      <c r="E14" t="s">
        <v>396</v>
      </c>
      <c r="F14" t="s">
        <v>26</v>
      </c>
      <c r="G14" t="s">
        <v>359</v>
      </c>
      <c r="H14" t="s">
        <v>394</v>
      </c>
      <c r="I14" t="s">
        <v>360</v>
      </c>
      <c r="J14" t="s">
        <v>361</v>
      </c>
      <c r="K14" t="s">
        <v>397</v>
      </c>
      <c r="L14" t="s">
        <v>363</v>
      </c>
      <c r="M14" t="s">
        <v>397</v>
      </c>
      <c r="N14">
        <v>7903</v>
      </c>
      <c r="O14">
        <v>11</v>
      </c>
      <c r="P14" t="s">
        <v>398</v>
      </c>
      <c r="Q14" s="44">
        <v>10000000</v>
      </c>
      <c r="R14" s="44">
        <v>0</v>
      </c>
      <c r="S14" s="44">
        <v>0</v>
      </c>
      <c r="T14" s="44">
        <v>0</v>
      </c>
      <c r="U14" s="44">
        <v>0</v>
      </c>
      <c r="V14" s="44">
        <v>10000000</v>
      </c>
      <c r="W14" s="44">
        <v>10000000</v>
      </c>
      <c r="X14" s="44">
        <v>10000000</v>
      </c>
      <c r="Y14" s="44">
        <v>0</v>
      </c>
      <c r="Z14" s="44">
        <v>10000000</v>
      </c>
      <c r="AA14" s="44">
        <v>0</v>
      </c>
      <c r="AB14" s="44">
        <v>0</v>
      </c>
      <c r="AE14" s="44">
        <v>10000000</v>
      </c>
      <c r="AF14" s="44">
        <v>0</v>
      </c>
      <c r="AG14" s="44">
        <v>0</v>
      </c>
      <c r="AH14" s="44">
        <v>0</v>
      </c>
      <c r="AI14" s="44">
        <v>0</v>
      </c>
      <c r="AJ14" s="44">
        <v>0</v>
      </c>
      <c r="AK14" s="44">
        <f t="shared" si="0"/>
        <v>0</v>
      </c>
      <c r="AL14" s="44">
        <f t="shared" si="1"/>
        <v>0</v>
      </c>
      <c r="AM14" s="44">
        <f t="shared" si="2"/>
        <v>0</v>
      </c>
    </row>
    <row r="15" spans="1:39" hidden="1" x14ac:dyDescent="0.25">
      <c r="A15" t="s">
        <v>354</v>
      </c>
      <c r="B15" t="s">
        <v>393</v>
      </c>
      <c r="C15" t="s">
        <v>356</v>
      </c>
      <c r="D15" t="s">
        <v>357</v>
      </c>
      <c r="E15" t="s">
        <v>399</v>
      </c>
      <c r="F15" t="s">
        <v>26</v>
      </c>
      <c r="G15" t="s">
        <v>359</v>
      </c>
      <c r="H15" t="s">
        <v>394</v>
      </c>
      <c r="I15" t="s">
        <v>360</v>
      </c>
      <c r="J15" t="s">
        <v>361</v>
      </c>
      <c r="K15" t="s">
        <v>400</v>
      </c>
      <c r="L15" t="s">
        <v>363</v>
      </c>
      <c r="M15" t="s">
        <v>400</v>
      </c>
      <c r="N15">
        <v>7904</v>
      </c>
      <c r="O15">
        <v>12</v>
      </c>
      <c r="P15" t="s">
        <v>401</v>
      </c>
      <c r="Q15" s="44">
        <v>60000000</v>
      </c>
      <c r="R15" s="44">
        <v>0</v>
      </c>
      <c r="S15" s="44">
        <v>0</v>
      </c>
      <c r="T15" s="44">
        <v>0</v>
      </c>
      <c r="U15" s="44">
        <v>0</v>
      </c>
      <c r="V15" s="44">
        <v>60000000</v>
      </c>
      <c r="W15" s="44">
        <v>19998000</v>
      </c>
      <c r="X15" s="44">
        <v>19998000</v>
      </c>
      <c r="Y15" s="44">
        <v>40002000</v>
      </c>
      <c r="Z15" s="44">
        <v>19998000</v>
      </c>
      <c r="AA15" s="44">
        <v>0</v>
      </c>
      <c r="AB15" s="44">
        <v>40002000</v>
      </c>
      <c r="AE15" s="44">
        <v>19998000</v>
      </c>
      <c r="AF15" s="44">
        <v>5999400</v>
      </c>
      <c r="AG15" s="44">
        <v>0</v>
      </c>
      <c r="AH15" s="44">
        <v>0</v>
      </c>
      <c r="AI15" s="44">
        <v>5999400</v>
      </c>
      <c r="AJ15" s="44">
        <v>5999400</v>
      </c>
      <c r="AK15" s="44">
        <f t="shared" si="0"/>
        <v>0</v>
      </c>
      <c r="AL15" s="44">
        <f t="shared" si="1"/>
        <v>0</v>
      </c>
      <c r="AM15" s="44">
        <f t="shared" si="2"/>
        <v>0</v>
      </c>
    </row>
    <row r="16" spans="1:39" hidden="1" x14ac:dyDescent="0.25">
      <c r="A16" t="s">
        <v>354</v>
      </c>
      <c r="B16" t="s">
        <v>393</v>
      </c>
      <c r="C16" t="s">
        <v>356</v>
      </c>
      <c r="D16" t="s">
        <v>357</v>
      </c>
      <c r="E16" t="s">
        <v>402</v>
      </c>
      <c r="F16" t="s">
        <v>26</v>
      </c>
      <c r="G16" t="s">
        <v>359</v>
      </c>
      <c r="H16" t="s">
        <v>394</v>
      </c>
      <c r="I16" t="s">
        <v>360</v>
      </c>
      <c r="J16" t="s">
        <v>361</v>
      </c>
      <c r="K16" t="s">
        <v>403</v>
      </c>
      <c r="L16" t="s">
        <v>363</v>
      </c>
      <c r="M16" t="s">
        <v>403</v>
      </c>
      <c r="N16">
        <v>7905</v>
      </c>
      <c r="O16">
        <v>13</v>
      </c>
      <c r="P16" t="s">
        <v>404</v>
      </c>
      <c r="Q16" s="44">
        <v>209045154</v>
      </c>
      <c r="R16" s="44">
        <v>1306167</v>
      </c>
      <c r="S16" s="44">
        <v>0</v>
      </c>
      <c r="T16" s="44">
        <v>0</v>
      </c>
      <c r="U16" s="44">
        <v>0</v>
      </c>
      <c r="V16" s="44">
        <v>210351321</v>
      </c>
      <c r="W16" s="44">
        <v>175243509</v>
      </c>
      <c r="X16" s="44">
        <v>175243509</v>
      </c>
      <c r="Y16" s="44">
        <v>35107812</v>
      </c>
      <c r="Z16" s="44">
        <v>175243509</v>
      </c>
      <c r="AA16" s="44">
        <v>0</v>
      </c>
      <c r="AB16" s="44">
        <v>35107812</v>
      </c>
      <c r="AE16" s="44">
        <v>175243509</v>
      </c>
      <c r="AF16" s="44">
        <v>39500000</v>
      </c>
      <c r="AG16" s="44">
        <v>-9912380</v>
      </c>
      <c r="AH16" s="44" t="s">
        <v>256</v>
      </c>
      <c r="AI16" s="44">
        <v>39500000</v>
      </c>
      <c r="AJ16" s="44">
        <v>39500000</v>
      </c>
      <c r="AK16" s="44">
        <f t="shared" si="0"/>
        <v>0</v>
      </c>
      <c r="AL16" s="44">
        <f t="shared" si="1"/>
        <v>0</v>
      </c>
      <c r="AM16" s="44">
        <f t="shared" si="2"/>
        <v>0</v>
      </c>
    </row>
    <row r="17" spans="1:39" x14ac:dyDescent="0.25">
      <c r="A17" t="s">
        <v>354</v>
      </c>
      <c r="B17" t="s">
        <v>393</v>
      </c>
      <c r="C17" t="s">
        <v>356</v>
      </c>
      <c r="D17" t="s">
        <v>357</v>
      </c>
      <c r="E17" t="s">
        <v>405</v>
      </c>
      <c r="F17" t="s">
        <v>26</v>
      </c>
      <c r="G17" t="s">
        <v>359</v>
      </c>
      <c r="H17" t="s">
        <v>394</v>
      </c>
      <c r="I17" t="s">
        <v>360</v>
      </c>
      <c r="J17" t="s">
        <v>361</v>
      </c>
      <c r="K17" t="s">
        <v>406</v>
      </c>
      <c r="L17" t="s">
        <v>363</v>
      </c>
      <c r="M17" t="s">
        <v>406</v>
      </c>
      <c r="N17">
        <v>7906</v>
      </c>
      <c r="O17">
        <v>14</v>
      </c>
      <c r="P17" t="s">
        <v>407</v>
      </c>
      <c r="Q17" s="44">
        <v>273237716</v>
      </c>
      <c r="R17" s="44">
        <v>0</v>
      </c>
      <c r="S17" s="44">
        <v>0</v>
      </c>
      <c r="T17" s="44">
        <v>0</v>
      </c>
      <c r="U17" s="44">
        <v>0</v>
      </c>
      <c r="V17" s="44">
        <v>273237716</v>
      </c>
      <c r="W17" s="44">
        <v>122811200</v>
      </c>
      <c r="X17" s="44">
        <v>122811200</v>
      </c>
      <c r="Y17" s="44">
        <v>150426516</v>
      </c>
      <c r="Z17" s="44">
        <v>122811200</v>
      </c>
      <c r="AA17" s="44">
        <v>0</v>
      </c>
      <c r="AB17" s="44">
        <v>150426516</v>
      </c>
      <c r="AE17" s="44">
        <v>122811200</v>
      </c>
      <c r="AF17" s="44">
        <v>65687200</v>
      </c>
      <c r="AG17" s="44">
        <v>-800</v>
      </c>
      <c r="AH17" s="44">
        <v>0</v>
      </c>
      <c r="AI17" s="44">
        <v>65687200</v>
      </c>
      <c r="AJ17" s="44">
        <v>65687200</v>
      </c>
      <c r="AK17" s="44">
        <f t="shared" si="0"/>
        <v>0</v>
      </c>
      <c r="AL17" s="44">
        <f t="shared" si="1"/>
        <v>0</v>
      </c>
      <c r="AM17" s="44">
        <f t="shared" si="2"/>
        <v>0</v>
      </c>
    </row>
    <row r="18" spans="1:39" hidden="1" x14ac:dyDescent="0.25">
      <c r="A18" t="s">
        <v>354</v>
      </c>
      <c r="B18" t="s">
        <v>393</v>
      </c>
      <c r="C18" t="s">
        <v>380</v>
      </c>
      <c r="D18" t="s">
        <v>381</v>
      </c>
      <c r="E18" t="s">
        <v>382</v>
      </c>
      <c r="F18" t="s">
        <v>26</v>
      </c>
      <c r="G18" t="s">
        <v>359</v>
      </c>
      <c r="H18" t="s">
        <v>394</v>
      </c>
      <c r="I18" t="s">
        <v>383</v>
      </c>
      <c r="J18" t="s">
        <v>384</v>
      </c>
      <c r="K18" t="s">
        <v>385</v>
      </c>
      <c r="L18" t="s">
        <v>363</v>
      </c>
      <c r="M18" t="s">
        <v>385</v>
      </c>
      <c r="N18">
        <v>8035</v>
      </c>
      <c r="O18">
        <v>114</v>
      </c>
      <c r="P18" t="s">
        <v>948</v>
      </c>
      <c r="Q18" s="44">
        <v>0</v>
      </c>
      <c r="R18" s="44">
        <v>0</v>
      </c>
      <c r="S18" s="44">
        <v>0</v>
      </c>
      <c r="T18" s="44">
        <v>233000000</v>
      </c>
      <c r="U18" s="44">
        <v>0</v>
      </c>
      <c r="V18" s="44">
        <v>233000000</v>
      </c>
      <c r="W18" s="44">
        <v>111115000</v>
      </c>
      <c r="X18" s="44">
        <v>111115000</v>
      </c>
      <c r="Y18" s="44">
        <v>121885000</v>
      </c>
      <c r="Z18" s="44">
        <v>111115000</v>
      </c>
      <c r="AA18" s="44">
        <v>0</v>
      </c>
      <c r="AB18" s="44">
        <v>121885000</v>
      </c>
      <c r="AE18" s="44">
        <v>111115000</v>
      </c>
      <c r="AF18" s="44">
        <v>12555000</v>
      </c>
      <c r="AG18" s="44">
        <v>-1900000</v>
      </c>
      <c r="AH18" s="44">
        <v>0</v>
      </c>
      <c r="AI18" s="44">
        <v>12555000</v>
      </c>
      <c r="AJ18" s="44">
        <v>12555000</v>
      </c>
      <c r="AK18" s="44">
        <f t="shared" si="0"/>
        <v>0</v>
      </c>
      <c r="AL18" s="44">
        <f t="shared" si="1"/>
        <v>0</v>
      </c>
      <c r="AM18" s="44">
        <f t="shared" si="2"/>
        <v>0</v>
      </c>
    </row>
    <row r="19" spans="1:39" hidden="1" x14ac:dyDescent="0.25">
      <c r="A19" t="s">
        <v>354</v>
      </c>
      <c r="B19" t="s">
        <v>393</v>
      </c>
      <c r="C19" t="s">
        <v>380</v>
      </c>
      <c r="D19" t="s">
        <v>381</v>
      </c>
      <c r="E19" t="s">
        <v>390</v>
      </c>
      <c r="F19" t="s">
        <v>26</v>
      </c>
      <c r="G19" t="s">
        <v>359</v>
      </c>
      <c r="H19" t="s">
        <v>394</v>
      </c>
      <c r="I19" t="s">
        <v>383</v>
      </c>
      <c r="J19" t="s">
        <v>384</v>
      </c>
      <c r="K19" t="s">
        <v>391</v>
      </c>
      <c r="L19" t="s">
        <v>363</v>
      </c>
      <c r="M19" t="s">
        <v>391</v>
      </c>
      <c r="N19">
        <v>8016</v>
      </c>
      <c r="O19">
        <v>101</v>
      </c>
      <c r="P19" t="s">
        <v>854</v>
      </c>
      <c r="Q19" s="44">
        <v>0</v>
      </c>
      <c r="R19" s="44">
        <v>934434678</v>
      </c>
      <c r="S19" s="44">
        <v>0</v>
      </c>
      <c r="T19" s="44">
        <v>0</v>
      </c>
      <c r="U19" s="44">
        <v>233000000</v>
      </c>
      <c r="V19" s="44">
        <v>701434678</v>
      </c>
      <c r="W19" s="44">
        <v>506171117</v>
      </c>
      <c r="X19" s="44">
        <v>506171117</v>
      </c>
      <c r="Y19" s="44">
        <v>195263561</v>
      </c>
      <c r="Z19" s="44">
        <v>506171117</v>
      </c>
      <c r="AA19" s="44">
        <v>0</v>
      </c>
      <c r="AB19" s="44">
        <v>195263561</v>
      </c>
      <c r="AE19" s="44">
        <v>506171117</v>
      </c>
      <c r="AF19" s="44">
        <v>140549560</v>
      </c>
      <c r="AG19" s="44">
        <v>-11448883</v>
      </c>
      <c r="AH19" s="44" t="s">
        <v>256</v>
      </c>
      <c r="AI19" s="44">
        <v>140549560</v>
      </c>
      <c r="AJ19" s="44">
        <v>140549560</v>
      </c>
      <c r="AK19" s="44">
        <f t="shared" si="0"/>
        <v>0</v>
      </c>
      <c r="AL19" s="44">
        <f t="shared" si="1"/>
        <v>0</v>
      </c>
      <c r="AM19" s="44">
        <f t="shared" si="2"/>
        <v>0</v>
      </c>
    </row>
    <row r="20" spans="1:39" x14ac:dyDescent="0.25">
      <c r="A20" t="s">
        <v>354</v>
      </c>
      <c r="B20" t="s">
        <v>393</v>
      </c>
      <c r="C20" t="s">
        <v>380</v>
      </c>
      <c r="D20" t="s">
        <v>381</v>
      </c>
      <c r="E20" t="s">
        <v>408</v>
      </c>
      <c r="F20" t="s">
        <v>26</v>
      </c>
      <c r="G20" t="s">
        <v>359</v>
      </c>
      <c r="H20" t="s">
        <v>394</v>
      </c>
      <c r="I20" t="s">
        <v>383</v>
      </c>
      <c r="J20" t="s">
        <v>384</v>
      </c>
      <c r="K20" t="s">
        <v>409</v>
      </c>
      <c r="L20" t="s">
        <v>363</v>
      </c>
      <c r="M20" t="s">
        <v>409</v>
      </c>
      <c r="N20">
        <v>7907</v>
      </c>
      <c r="O20">
        <v>15</v>
      </c>
      <c r="P20" t="s">
        <v>410</v>
      </c>
      <c r="Q20" s="44">
        <v>20809429</v>
      </c>
      <c r="R20" s="44">
        <v>0</v>
      </c>
      <c r="S20" s="44">
        <v>0</v>
      </c>
      <c r="T20" s="44">
        <v>0</v>
      </c>
      <c r="U20" s="44">
        <v>0</v>
      </c>
      <c r="V20" s="44">
        <v>20809429</v>
      </c>
      <c r="W20" s="44">
        <v>20809429</v>
      </c>
      <c r="X20" s="44">
        <v>20809429</v>
      </c>
      <c r="Y20" s="44">
        <v>0</v>
      </c>
      <c r="Z20" s="44">
        <v>20809429</v>
      </c>
      <c r="AA20" s="44">
        <v>0</v>
      </c>
      <c r="AB20" s="44">
        <v>0</v>
      </c>
      <c r="AE20" s="44">
        <v>20809429</v>
      </c>
      <c r="AF20" s="44">
        <v>6844429</v>
      </c>
      <c r="AG20" s="44">
        <v>0</v>
      </c>
      <c r="AH20" s="44">
        <v>0</v>
      </c>
      <c r="AI20" s="44">
        <v>6844429</v>
      </c>
      <c r="AJ20" s="44">
        <v>6844429</v>
      </c>
      <c r="AK20" s="44">
        <f t="shared" si="0"/>
        <v>0</v>
      </c>
      <c r="AL20" s="44">
        <f t="shared" si="1"/>
        <v>0</v>
      </c>
      <c r="AM20" s="44">
        <f t="shared" si="2"/>
        <v>0</v>
      </c>
    </row>
    <row r="21" spans="1:39" hidden="1" x14ac:dyDescent="0.25">
      <c r="A21" t="s">
        <v>354</v>
      </c>
      <c r="B21" t="s">
        <v>393</v>
      </c>
      <c r="C21" t="s">
        <v>380</v>
      </c>
      <c r="D21" t="s">
        <v>381</v>
      </c>
      <c r="E21" t="s">
        <v>411</v>
      </c>
      <c r="F21" t="s">
        <v>26</v>
      </c>
      <c r="G21" t="s">
        <v>359</v>
      </c>
      <c r="H21" t="s">
        <v>394</v>
      </c>
      <c r="I21" t="s">
        <v>383</v>
      </c>
      <c r="J21" t="s">
        <v>384</v>
      </c>
      <c r="K21" t="s">
        <v>412</v>
      </c>
      <c r="L21" t="s">
        <v>363</v>
      </c>
      <c r="M21" t="s">
        <v>412</v>
      </c>
      <c r="N21">
        <v>7908</v>
      </c>
      <c r="O21">
        <v>16</v>
      </c>
      <c r="P21" t="s">
        <v>413</v>
      </c>
      <c r="Q21" s="44">
        <v>10294263</v>
      </c>
      <c r="R21" s="44">
        <v>0</v>
      </c>
      <c r="S21" s="44">
        <v>0</v>
      </c>
      <c r="T21" s="44">
        <v>0</v>
      </c>
      <c r="U21" s="44">
        <v>0</v>
      </c>
      <c r="V21" s="44">
        <v>10294263</v>
      </c>
      <c r="W21" s="44">
        <v>10000000</v>
      </c>
      <c r="X21" s="44">
        <v>10000000</v>
      </c>
      <c r="Y21" s="44">
        <v>294263</v>
      </c>
      <c r="Z21" s="44">
        <v>10000000</v>
      </c>
      <c r="AA21" s="44">
        <v>0</v>
      </c>
      <c r="AB21" s="44">
        <v>294263</v>
      </c>
      <c r="AE21" s="44">
        <v>10000000</v>
      </c>
      <c r="AF21" s="44">
        <v>6000000</v>
      </c>
      <c r="AG21" s="44">
        <v>0</v>
      </c>
      <c r="AH21" s="44">
        <v>0</v>
      </c>
      <c r="AI21" s="44">
        <v>6000000</v>
      </c>
      <c r="AJ21" s="44">
        <v>6000000</v>
      </c>
      <c r="AK21" s="44">
        <f t="shared" si="0"/>
        <v>0</v>
      </c>
      <c r="AL21" s="44">
        <f t="shared" si="1"/>
        <v>0</v>
      </c>
      <c r="AM21" s="44">
        <f t="shared" si="2"/>
        <v>0</v>
      </c>
    </row>
    <row r="22" spans="1:39" hidden="1" x14ac:dyDescent="0.25">
      <c r="A22" t="s">
        <v>354</v>
      </c>
      <c r="B22" t="s">
        <v>393</v>
      </c>
      <c r="C22" t="s">
        <v>380</v>
      </c>
      <c r="D22" t="s">
        <v>381</v>
      </c>
      <c r="E22" t="s">
        <v>414</v>
      </c>
      <c r="F22" t="s">
        <v>26</v>
      </c>
      <c r="G22" t="s">
        <v>359</v>
      </c>
      <c r="H22" t="s">
        <v>394</v>
      </c>
      <c r="I22" t="s">
        <v>383</v>
      </c>
      <c r="J22" t="s">
        <v>384</v>
      </c>
      <c r="K22" t="s">
        <v>415</v>
      </c>
      <c r="L22" t="s">
        <v>363</v>
      </c>
      <c r="M22" t="s">
        <v>415</v>
      </c>
      <c r="N22">
        <v>7909</v>
      </c>
      <c r="O22">
        <v>17</v>
      </c>
      <c r="P22" t="s">
        <v>416</v>
      </c>
      <c r="Q22" s="44">
        <v>400000000</v>
      </c>
      <c r="R22" s="44">
        <v>0</v>
      </c>
      <c r="S22" s="44">
        <v>0</v>
      </c>
      <c r="T22" s="44">
        <v>0</v>
      </c>
      <c r="U22" s="44">
        <v>0</v>
      </c>
      <c r="V22" s="44">
        <v>400000000</v>
      </c>
      <c r="W22" s="44">
        <v>400000000</v>
      </c>
      <c r="X22" s="44">
        <v>400000000</v>
      </c>
      <c r="Y22" s="44">
        <v>0</v>
      </c>
      <c r="Z22" s="44">
        <v>400000000</v>
      </c>
      <c r="AA22" s="44">
        <v>0</v>
      </c>
      <c r="AB22" s="44">
        <v>0</v>
      </c>
      <c r="AE22" s="44">
        <v>400000000</v>
      </c>
      <c r="AF22" s="44">
        <v>155570400</v>
      </c>
      <c r="AG22" s="44">
        <v>0</v>
      </c>
      <c r="AH22" s="44">
        <v>0</v>
      </c>
      <c r="AI22" s="44">
        <v>155570400</v>
      </c>
      <c r="AJ22" s="44">
        <v>155570400</v>
      </c>
      <c r="AK22" s="44">
        <f t="shared" si="0"/>
        <v>0</v>
      </c>
      <c r="AL22" s="44">
        <f t="shared" si="1"/>
        <v>0</v>
      </c>
      <c r="AM22" s="44">
        <f t="shared" si="2"/>
        <v>0</v>
      </c>
    </row>
    <row r="23" spans="1:39" hidden="1" x14ac:dyDescent="0.25">
      <c r="A23" t="s">
        <v>354</v>
      </c>
      <c r="B23" t="s">
        <v>925</v>
      </c>
      <c r="C23" t="s">
        <v>380</v>
      </c>
      <c r="D23" t="s">
        <v>381</v>
      </c>
      <c r="E23" t="s">
        <v>390</v>
      </c>
      <c r="F23" t="s">
        <v>26</v>
      </c>
      <c r="G23" t="s">
        <v>359</v>
      </c>
      <c r="H23" t="s">
        <v>926</v>
      </c>
      <c r="I23" t="s">
        <v>383</v>
      </c>
      <c r="J23" t="s">
        <v>384</v>
      </c>
      <c r="K23" t="s">
        <v>391</v>
      </c>
      <c r="L23" t="s">
        <v>363</v>
      </c>
      <c r="M23" t="s">
        <v>391</v>
      </c>
      <c r="N23">
        <v>8027</v>
      </c>
      <c r="O23">
        <v>106</v>
      </c>
      <c r="P23" t="s">
        <v>927</v>
      </c>
      <c r="Q23" s="44">
        <v>0</v>
      </c>
      <c r="R23" s="44">
        <v>25000000</v>
      </c>
      <c r="S23" s="44">
        <v>0</v>
      </c>
      <c r="T23" s="44">
        <v>0</v>
      </c>
      <c r="U23" s="44">
        <v>0</v>
      </c>
      <c r="V23" s="44">
        <v>25000000</v>
      </c>
      <c r="W23" s="44">
        <v>24750000</v>
      </c>
      <c r="X23" s="44">
        <v>24750000</v>
      </c>
      <c r="Y23" s="44">
        <v>250000</v>
      </c>
      <c r="Z23" s="44">
        <v>24750000</v>
      </c>
      <c r="AA23" s="44">
        <v>0</v>
      </c>
      <c r="AB23" s="44">
        <v>250000</v>
      </c>
      <c r="AE23" s="44">
        <v>24750000</v>
      </c>
      <c r="AF23" s="44">
        <v>7425000</v>
      </c>
      <c r="AG23" s="44">
        <v>0</v>
      </c>
      <c r="AH23" s="44">
        <v>0</v>
      </c>
      <c r="AI23" s="44">
        <v>7425000</v>
      </c>
      <c r="AJ23" s="44">
        <v>7425000</v>
      </c>
      <c r="AK23" s="44">
        <f t="shared" si="0"/>
        <v>0</v>
      </c>
      <c r="AL23" s="44">
        <f t="shared" si="1"/>
        <v>0</v>
      </c>
      <c r="AM23" s="44">
        <f t="shared" si="2"/>
        <v>0</v>
      </c>
    </row>
    <row r="24" spans="1:39" hidden="1" x14ac:dyDescent="0.25">
      <c r="A24" t="s">
        <v>354</v>
      </c>
      <c r="B24" t="s">
        <v>928</v>
      </c>
      <c r="C24" t="s">
        <v>380</v>
      </c>
      <c r="D24" t="s">
        <v>381</v>
      </c>
      <c r="E24" t="s">
        <v>390</v>
      </c>
      <c r="F24" t="s">
        <v>26</v>
      </c>
      <c r="G24" t="s">
        <v>359</v>
      </c>
      <c r="H24" t="s">
        <v>929</v>
      </c>
      <c r="I24" t="s">
        <v>383</v>
      </c>
      <c r="J24" t="s">
        <v>384</v>
      </c>
      <c r="K24" t="s">
        <v>391</v>
      </c>
      <c r="L24" t="s">
        <v>363</v>
      </c>
      <c r="M24" t="s">
        <v>391</v>
      </c>
      <c r="N24">
        <v>8028</v>
      </c>
      <c r="O24">
        <v>107</v>
      </c>
      <c r="P24" t="s">
        <v>930</v>
      </c>
      <c r="Q24" s="44">
        <v>0</v>
      </c>
      <c r="R24" s="44">
        <v>50000000</v>
      </c>
      <c r="S24" s="44">
        <v>0</v>
      </c>
      <c r="T24" s="44">
        <v>0</v>
      </c>
      <c r="U24" s="44">
        <v>0</v>
      </c>
      <c r="V24" s="44">
        <v>50000000</v>
      </c>
      <c r="W24" s="44">
        <v>45540000</v>
      </c>
      <c r="X24" s="44">
        <v>45540000</v>
      </c>
      <c r="Y24" s="44">
        <v>4460000</v>
      </c>
      <c r="Z24" s="44">
        <v>45540000</v>
      </c>
      <c r="AA24" s="44">
        <v>0</v>
      </c>
      <c r="AB24" s="44">
        <v>4460000</v>
      </c>
      <c r="AE24" s="44">
        <v>45540000</v>
      </c>
      <c r="AF24" s="44">
        <v>13662000</v>
      </c>
      <c r="AG24" s="44">
        <v>0</v>
      </c>
      <c r="AH24" s="44">
        <v>0</v>
      </c>
      <c r="AI24" s="44">
        <v>13662000</v>
      </c>
      <c r="AJ24" s="44">
        <v>13662000</v>
      </c>
      <c r="AK24" s="44">
        <f t="shared" si="0"/>
        <v>0</v>
      </c>
      <c r="AL24" s="44">
        <f t="shared" si="1"/>
        <v>0</v>
      </c>
      <c r="AM24" s="44">
        <f t="shared" si="2"/>
        <v>0</v>
      </c>
    </row>
    <row r="25" spans="1:39" hidden="1" x14ac:dyDescent="0.25">
      <c r="A25" t="s">
        <v>354</v>
      </c>
      <c r="B25" t="s">
        <v>855</v>
      </c>
      <c r="C25" t="s">
        <v>356</v>
      </c>
      <c r="D25" t="s">
        <v>357</v>
      </c>
      <c r="E25" t="s">
        <v>358</v>
      </c>
      <c r="F25" t="s">
        <v>26</v>
      </c>
      <c r="G25" t="s">
        <v>359</v>
      </c>
      <c r="H25" t="s">
        <v>856</v>
      </c>
      <c r="I25" t="s">
        <v>360</v>
      </c>
      <c r="J25" t="s">
        <v>361</v>
      </c>
      <c r="K25" t="s">
        <v>362</v>
      </c>
      <c r="L25" t="s">
        <v>363</v>
      </c>
      <c r="M25" t="s">
        <v>362</v>
      </c>
      <c r="N25">
        <v>8017</v>
      </c>
      <c r="O25">
        <v>102</v>
      </c>
      <c r="P25" t="s">
        <v>837</v>
      </c>
      <c r="Q25" s="44">
        <v>0</v>
      </c>
      <c r="R25" s="44">
        <v>0</v>
      </c>
      <c r="S25" s="44">
        <v>0</v>
      </c>
      <c r="T25" s="44">
        <v>53251837</v>
      </c>
      <c r="U25" s="44">
        <v>0</v>
      </c>
      <c r="V25" s="44">
        <v>53251837</v>
      </c>
      <c r="W25" s="44">
        <v>38711897</v>
      </c>
      <c r="X25" s="44">
        <v>38711897</v>
      </c>
      <c r="Y25" s="44">
        <v>14539940</v>
      </c>
      <c r="Z25" s="44">
        <v>38711897</v>
      </c>
      <c r="AA25" s="44">
        <v>0</v>
      </c>
      <c r="AB25" s="44">
        <v>14539940</v>
      </c>
      <c r="AE25" s="44">
        <v>38711897</v>
      </c>
      <c r="AF25" s="44">
        <v>10050000</v>
      </c>
      <c r="AG25" s="44">
        <v>0</v>
      </c>
      <c r="AH25" s="44">
        <v>0</v>
      </c>
      <c r="AI25" s="44">
        <v>10050000</v>
      </c>
      <c r="AJ25" s="44">
        <v>10050000</v>
      </c>
      <c r="AK25" s="44">
        <f t="shared" si="0"/>
        <v>0</v>
      </c>
      <c r="AL25" s="44">
        <f t="shared" si="1"/>
        <v>0</v>
      </c>
      <c r="AM25" s="44">
        <f t="shared" si="2"/>
        <v>0</v>
      </c>
    </row>
    <row r="26" spans="1:39" hidden="1" x14ac:dyDescent="0.25">
      <c r="A26" t="s">
        <v>354</v>
      </c>
      <c r="B26" t="s">
        <v>855</v>
      </c>
      <c r="C26" t="s">
        <v>356</v>
      </c>
      <c r="D26" t="s">
        <v>357</v>
      </c>
      <c r="E26" t="s">
        <v>371</v>
      </c>
      <c r="F26" t="s">
        <v>26</v>
      </c>
      <c r="G26" t="s">
        <v>359</v>
      </c>
      <c r="H26" t="s">
        <v>856</v>
      </c>
      <c r="I26" t="s">
        <v>360</v>
      </c>
      <c r="J26" t="s">
        <v>361</v>
      </c>
      <c r="K26" t="s">
        <v>372</v>
      </c>
      <c r="L26" t="s">
        <v>363</v>
      </c>
      <c r="M26" t="s">
        <v>372</v>
      </c>
      <c r="N26">
        <v>7987</v>
      </c>
      <c r="O26">
        <v>82</v>
      </c>
      <c r="P26" t="s">
        <v>838</v>
      </c>
      <c r="Q26" s="44">
        <v>0</v>
      </c>
      <c r="R26" s="44">
        <v>63558656</v>
      </c>
      <c r="S26" s="44">
        <v>0</v>
      </c>
      <c r="T26" s="44">
        <v>55000000</v>
      </c>
      <c r="U26" s="44">
        <v>0</v>
      </c>
      <c r="V26" s="44">
        <v>118558656</v>
      </c>
      <c r="W26" s="44">
        <v>109592847</v>
      </c>
      <c r="X26" s="44">
        <v>109592847</v>
      </c>
      <c r="Y26" s="44">
        <v>8965809</v>
      </c>
      <c r="Z26" s="44">
        <v>109592847</v>
      </c>
      <c r="AA26" s="44">
        <v>0</v>
      </c>
      <c r="AB26" s="44">
        <v>8965809</v>
      </c>
      <c r="AE26" s="44">
        <v>109592847</v>
      </c>
      <c r="AF26" s="44">
        <v>62200000</v>
      </c>
      <c r="AG26" s="44">
        <v>-8898212</v>
      </c>
      <c r="AH26" s="44" t="s">
        <v>256</v>
      </c>
      <c r="AI26" s="44">
        <v>62200000</v>
      </c>
      <c r="AJ26" s="44">
        <v>62200000</v>
      </c>
      <c r="AK26" s="44">
        <f t="shared" si="0"/>
        <v>0</v>
      </c>
      <c r="AL26" s="44">
        <f t="shared" si="1"/>
        <v>0</v>
      </c>
      <c r="AM26" s="44">
        <f t="shared" si="2"/>
        <v>0</v>
      </c>
    </row>
    <row r="27" spans="1:39" hidden="1" x14ac:dyDescent="0.25">
      <c r="A27" t="s">
        <v>354</v>
      </c>
      <c r="B27" t="s">
        <v>855</v>
      </c>
      <c r="C27" t="s">
        <v>356</v>
      </c>
      <c r="D27" t="s">
        <v>357</v>
      </c>
      <c r="E27" t="s">
        <v>374</v>
      </c>
      <c r="F27" t="s">
        <v>26</v>
      </c>
      <c r="G27" t="s">
        <v>359</v>
      </c>
      <c r="H27" t="s">
        <v>856</v>
      </c>
      <c r="I27" t="s">
        <v>360</v>
      </c>
      <c r="J27" t="s">
        <v>361</v>
      </c>
      <c r="K27" t="s">
        <v>375</v>
      </c>
      <c r="L27" t="s">
        <v>363</v>
      </c>
      <c r="M27" t="s">
        <v>375</v>
      </c>
      <c r="N27">
        <v>8018</v>
      </c>
      <c r="O27">
        <v>103</v>
      </c>
      <c r="P27" t="s">
        <v>839</v>
      </c>
      <c r="Q27" s="44">
        <v>0</v>
      </c>
      <c r="R27" s="44">
        <v>0</v>
      </c>
      <c r="S27" s="44">
        <v>0</v>
      </c>
      <c r="T27" s="44">
        <v>45000000</v>
      </c>
      <c r="U27" s="44">
        <v>0</v>
      </c>
      <c r="V27" s="44">
        <v>45000000</v>
      </c>
      <c r="W27" s="44">
        <v>30000000</v>
      </c>
      <c r="X27" s="44">
        <v>30000000</v>
      </c>
      <c r="Y27" s="44">
        <v>15000000</v>
      </c>
      <c r="Z27" s="44">
        <v>30000000</v>
      </c>
      <c r="AA27" s="44">
        <v>0</v>
      </c>
      <c r="AB27" s="44">
        <v>15000000</v>
      </c>
      <c r="AE27" s="44">
        <v>30000000</v>
      </c>
      <c r="AF27" s="44">
        <v>6000000</v>
      </c>
      <c r="AG27" s="44">
        <v>0</v>
      </c>
      <c r="AH27" s="44">
        <v>0</v>
      </c>
      <c r="AI27" s="44">
        <v>6000000</v>
      </c>
      <c r="AJ27" s="44">
        <v>6000000</v>
      </c>
      <c r="AK27" s="44">
        <f t="shared" si="0"/>
        <v>0</v>
      </c>
      <c r="AL27" s="44">
        <f t="shared" si="1"/>
        <v>0</v>
      </c>
      <c r="AM27" s="44">
        <f t="shared" si="2"/>
        <v>0</v>
      </c>
    </row>
    <row r="28" spans="1:39" hidden="1" x14ac:dyDescent="0.25">
      <c r="A28" t="s">
        <v>354</v>
      </c>
      <c r="B28" t="s">
        <v>855</v>
      </c>
      <c r="C28" t="s">
        <v>356</v>
      </c>
      <c r="D28" t="s">
        <v>357</v>
      </c>
      <c r="E28" t="s">
        <v>399</v>
      </c>
      <c r="F28" t="s">
        <v>26</v>
      </c>
      <c r="G28" t="s">
        <v>359</v>
      </c>
      <c r="H28" t="s">
        <v>856</v>
      </c>
      <c r="I28" t="s">
        <v>360</v>
      </c>
      <c r="J28" t="s">
        <v>361</v>
      </c>
      <c r="K28" t="s">
        <v>400</v>
      </c>
      <c r="L28" t="s">
        <v>363</v>
      </c>
      <c r="M28" t="s">
        <v>400</v>
      </c>
      <c r="N28">
        <v>7988</v>
      </c>
      <c r="O28">
        <v>83</v>
      </c>
      <c r="P28" t="s">
        <v>840</v>
      </c>
      <c r="Q28" s="44">
        <v>0</v>
      </c>
      <c r="R28" s="44">
        <v>363558656</v>
      </c>
      <c r="S28" s="44">
        <v>0</v>
      </c>
      <c r="T28" s="44">
        <v>0</v>
      </c>
      <c r="U28" s="44">
        <v>0</v>
      </c>
      <c r="V28" s="44">
        <v>363558656</v>
      </c>
      <c r="W28" s="44">
        <v>210532837</v>
      </c>
      <c r="X28" s="44">
        <v>210532837</v>
      </c>
      <c r="Y28" s="44">
        <v>153025819</v>
      </c>
      <c r="Z28" s="44">
        <v>210532837</v>
      </c>
      <c r="AA28" s="44">
        <v>0</v>
      </c>
      <c r="AB28" s="44">
        <v>153025819</v>
      </c>
      <c r="AE28" s="44">
        <v>210532837</v>
      </c>
      <c r="AF28" s="44">
        <v>450000</v>
      </c>
      <c r="AG28" s="44">
        <v>-34768988</v>
      </c>
      <c r="AH28" s="44" t="s">
        <v>256</v>
      </c>
      <c r="AI28" s="44">
        <v>450000</v>
      </c>
      <c r="AJ28" s="44">
        <v>450000</v>
      </c>
      <c r="AK28" s="44">
        <f t="shared" si="0"/>
        <v>0</v>
      </c>
      <c r="AL28" s="44">
        <f t="shared" si="1"/>
        <v>0</v>
      </c>
      <c r="AM28" s="44">
        <f t="shared" si="2"/>
        <v>0</v>
      </c>
    </row>
    <row r="29" spans="1:39" hidden="1" x14ac:dyDescent="0.25">
      <c r="A29" t="s">
        <v>354</v>
      </c>
      <c r="B29" t="s">
        <v>855</v>
      </c>
      <c r="C29" t="s">
        <v>356</v>
      </c>
      <c r="D29" t="s">
        <v>357</v>
      </c>
      <c r="E29" t="s">
        <v>402</v>
      </c>
      <c r="F29" t="s">
        <v>26</v>
      </c>
      <c r="G29" t="s">
        <v>359</v>
      </c>
      <c r="H29" t="s">
        <v>856</v>
      </c>
      <c r="I29" t="s">
        <v>360</v>
      </c>
      <c r="J29" t="s">
        <v>361</v>
      </c>
      <c r="K29" t="s">
        <v>403</v>
      </c>
      <c r="L29" t="s">
        <v>363</v>
      </c>
      <c r="M29" t="s">
        <v>403</v>
      </c>
      <c r="N29">
        <v>7989</v>
      </c>
      <c r="O29">
        <v>84</v>
      </c>
      <c r="P29" t="s">
        <v>841</v>
      </c>
      <c r="Q29" s="44">
        <v>0</v>
      </c>
      <c r="R29" s="44">
        <v>109472675</v>
      </c>
      <c r="S29" s="44">
        <v>0</v>
      </c>
      <c r="T29" s="44">
        <v>0</v>
      </c>
      <c r="U29" s="44">
        <v>45000000</v>
      </c>
      <c r="V29" s="44">
        <v>64472675</v>
      </c>
      <c r="W29" s="44">
        <v>35592848</v>
      </c>
      <c r="X29" s="44">
        <v>35592848</v>
      </c>
      <c r="Y29" s="44">
        <v>28879827</v>
      </c>
      <c r="Z29" s="44">
        <v>35592848</v>
      </c>
      <c r="AA29" s="44">
        <v>0</v>
      </c>
      <c r="AB29" s="44">
        <v>28879827</v>
      </c>
      <c r="AE29" s="44">
        <v>35592848</v>
      </c>
      <c r="AF29" s="44">
        <v>0</v>
      </c>
      <c r="AG29" s="44">
        <v>-8898211</v>
      </c>
      <c r="AH29" s="44" t="s">
        <v>256</v>
      </c>
      <c r="AI29" s="44">
        <v>0</v>
      </c>
      <c r="AJ29" s="44">
        <v>0</v>
      </c>
      <c r="AK29" s="44">
        <f t="shared" si="0"/>
        <v>0</v>
      </c>
      <c r="AL29" s="44">
        <f t="shared" si="1"/>
        <v>0</v>
      </c>
      <c r="AM29" s="44">
        <f t="shared" si="2"/>
        <v>0</v>
      </c>
    </row>
    <row r="30" spans="1:39" x14ac:dyDescent="0.25">
      <c r="A30" t="s">
        <v>354</v>
      </c>
      <c r="B30" t="s">
        <v>855</v>
      </c>
      <c r="C30" t="s">
        <v>356</v>
      </c>
      <c r="D30" t="s">
        <v>357</v>
      </c>
      <c r="E30" t="s">
        <v>405</v>
      </c>
      <c r="F30" t="s">
        <v>26</v>
      </c>
      <c r="G30" t="s">
        <v>359</v>
      </c>
      <c r="H30" t="s">
        <v>856</v>
      </c>
      <c r="I30" t="s">
        <v>360</v>
      </c>
      <c r="J30" t="s">
        <v>361</v>
      </c>
      <c r="K30" t="s">
        <v>406</v>
      </c>
      <c r="L30" t="s">
        <v>363</v>
      </c>
      <c r="M30" t="s">
        <v>406</v>
      </c>
      <c r="N30">
        <v>7990</v>
      </c>
      <c r="O30">
        <v>85</v>
      </c>
      <c r="P30" t="s">
        <v>842</v>
      </c>
      <c r="Q30" s="44">
        <v>0</v>
      </c>
      <c r="R30" s="44">
        <v>63558656</v>
      </c>
      <c r="S30" s="44">
        <v>0</v>
      </c>
      <c r="T30" s="44">
        <v>0</v>
      </c>
      <c r="U30" s="44">
        <v>0</v>
      </c>
      <c r="V30" s="44">
        <v>63558656</v>
      </c>
      <c r="W30" s="44">
        <v>35592848</v>
      </c>
      <c r="X30" s="44">
        <v>35592848</v>
      </c>
      <c r="Y30" s="44">
        <v>27965808</v>
      </c>
      <c r="Z30" s="44">
        <v>35592848</v>
      </c>
      <c r="AA30" s="44">
        <v>0</v>
      </c>
      <c r="AB30" s="44">
        <v>27965808</v>
      </c>
      <c r="AE30" s="44">
        <v>35592848</v>
      </c>
      <c r="AF30" s="44">
        <v>0</v>
      </c>
      <c r="AG30" s="44">
        <v>-8898211</v>
      </c>
      <c r="AH30" s="44" t="s">
        <v>256</v>
      </c>
      <c r="AI30" s="44">
        <v>0</v>
      </c>
      <c r="AJ30" s="44">
        <v>0</v>
      </c>
      <c r="AK30" s="44">
        <f t="shared" si="0"/>
        <v>0</v>
      </c>
      <c r="AL30" s="44">
        <f t="shared" si="1"/>
        <v>0</v>
      </c>
      <c r="AM30" s="44">
        <f t="shared" si="2"/>
        <v>0</v>
      </c>
    </row>
    <row r="31" spans="1:39" hidden="1" x14ac:dyDescent="0.25">
      <c r="A31" t="s">
        <v>354</v>
      </c>
      <c r="B31" t="s">
        <v>855</v>
      </c>
      <c r="C31" t="s">
        <v>380</v>
      </c>
      <c r="D31" t="s">
        <v>381</v>
      </c>
      <c r="E31" t="s">
        <v>382</v>
      </c>
      <c r="F31" t="s">
        <v>26</v>
      </c>
      <c r="G31" t="s">
        <v>359</v>
      </c>
      <c r="H31" t="s">
        <v>856</v>
      </c>
      <c r="I31" t="s">
        <v>383</v>
      </c>
      <c r="J31" t="s">
        <v>384</v>
      </c>
      <c r="K31" t="s">
        <v>385</v>
      </c>
      <c r="L31" t="s">
        <v>363</v>
      </c>
      <c r="M31" t="s">
        <v>385</v>
      </c>
      <c r="N31">
        <v>8019</v>
      </c>
      <c r="O31">
        <v>104</v>
      </c>
      <c r="P31" t="s">
        <v>843</v>
      </c>
      <c r="Q31" s="44">
        <v>0</v>
      </c>
      <c r="R31" s="44">
        <v>0</v>
      </c>
      <c r="S31" s="44">
        <v>0</v>
      </c>
      <c r="T31" s="44">
        <v>50000000</v>
      </c>
      <c r="U31" s="44">
        <v>0</v>
      </c>
      <c r="V31" s="44">
        <v>50000000</v>
      </c>
      <c r="W31" s="44">
        <v>40430000</v>
      </c>
      <c r="X31" s="44">
        <v>40430000</v>
      </c>
      <c r="Y31" s="44">
        <v>9570000</v>
      </c>
      <c r="Z31" s="44">
        <v>40430000</v>
      </c>
      <c r="AA31" s="44">
        <v>0</v>
      </c>
      <c r="AB31" s="44">
        <v>9570000</v>
      </c>
      <c r="AE31" s="44">
        <v>40430000</v>
      </c>
      <c r="AF31" s="44">
        <v>0</v>
      </c>
      <c r="AG31" s="44">
        <v>0</v>
      </c>
      <c r="AH31" s="44">
        <v>0</v>
      </c>
      <c r="AI31" s="44">
        <v>0</v>
      </c>
      <c r="AJ31" s="44">
        <v>0</v>
      </c>
      <c r="AK31" s="44">
        <f t="shared" si="0"/>
        <v>0</v>
      </c>
      <c r="AL31" s="44">
        <f t="shared" si="1"/>
        <v>0</v>
      </c>
      <c r="AM31" s="44">
        <f t="shared" si="2"/>
        <v>0</v>
      </c>
    </row>
    <row r="32" spans="1:39" hidden="1" x14ac:dyDescent="0.25">
      <c r="A32" t="s">
        <v>354</v>
      </c>
      <c r="B32" t="s">
        <v>855</v>
      </c>
      <c r="C32" t="s">
        <v>380</v>
      </c>
      <c r="D32" t="s">
        <v>381</v>
      </c>
      <c r="E32" t="s">
        <v>387</v>
      </c>
      <c r="F32" t="s">
        <v>26</v>
      </c>
      <c r="G32" t="s">
        <v>359</v>
      </c>
      <c r="H32" t="s">
        <v>856</v>
      </c>
      <c r="I32" t="s">
        <v>383</v>
      </c>
      <c r="J32" t="s">
        <v>384</v>
      </c>
      <c r="K32" t="s">
        <v>388</v>
      </c>
      <c r="L32" t="s">
        <v>363</v>
      </c>
      <c r="M32" t="s">
        <v>388</v>
      </c>
      <c r="N32">
        <v>7991</v>
      </c>
      <c r="O32">
        <v>86</v>
      </c>
      <c r="P32" t="s">
        <v>844</v>
      </c>
      <c r="Q32" s="44">
        <v>0</v>
      </c>
      <c r="R32" s="44">
        <v>327117311</v>
      </c>
      <c r="S32" s="44">
        <v>0</v>
      </c>
      <c r="T32" s="44">
        <v>0</v>
      </c>
      <c r="U32" s="44">
        <v>53251837</v>
      </c>
      <c r="V32" s="44">
        <v>273865474</v>
      </c>
      <c r="W32" s="44">
        <v>256069050</v>
      </c>
      <c r="X32" s="44">
        <v>256069050</v>
      </c>
      <c r="Y32" s="44">
        <v>17796424</v>
      </c>
      <c r="Z32" s="44">
        <v>256069050</v>
      </c>
      <c r="AA32" s="44">
        <v>0</v>
      </c>
      <c r="AB32" s="44">
        <v>17796424</v>
      </c>
      <c r="AE32" s="44">
        <v>256069050</v>
      </c>
      <c r="AF32" s="44">
        <v>17885473</v>
      </c>
      <c r="AG32" s="44">
        <v>-17796424</v>
      </c>
      <c r="AH32" s="44" t="s">
        <v>256</v>
      </c>
      <c r="AI32" s="44">
        <v>17885473</v>
      </c>
      <c r="AJ32" s="44">
        <v>17885473</v>
      </c>
      <c r="AK32" s="44">
        <f t="shared" si="0"/>
        <v>0</v>
      </c>
      <c r="AL32" s="44">
        <f t="shared" si="1"/>
        <v>0</v>
      </c>
      <c r="AM32" s="44">
        <f t="shared" si="2"/>
        <v>0</v>
      </c>
    </row>
    <row r="33" spans="1:39" hidden="1" x14ac:dyDescent="0.25">
      <c r="A33" t="s">
        <v>354</v>
      </c>
      <c r="B33" t="s">
        <v>855</v>
      </c>
      <c r="C33" t="s">
        <v>380</v>
      </c>
      <c r="D33" t="s">
        <v>381</v>
      </c>
      <c r="E33" t="s">
        <v>414</v>
      </c>
      <c r="F33" t="s">
        <v>26</v>
      </c>
      <c r="G33" t="s">
        <v>359</v>
      </c>
      <c r="H33" t="s">
        <v>856</v>
      </c>
      <c r="I33" t="s">
        <v>383</v>
      </c>
      <c r="J33" t="s">
        <v>384</v>
      </c>
      <c r="K33" t="s">
        <v>415</v>
      </c>
      <c r="L33" t="s">
        <v>363</v>
      </c>
      <c r="M33" t="s">
        <v>415</v>
      </c>
      <c r="N33">
        <v>7992</v>
      </c>
      <c r="O33">
        <v>87</v>
      </c>
      <c r="P33" t="s">
        <v>845</v>
      </c>
      <c r="Q33" s="44">
        <v>0</v>
      </c>
      <c r="R33" s="44">
        <v>50000000</v>
      </c>
      <c r="S33" s="44">
        <v>0</v>
      </c>
      <c r="T33" s="44">
        <v>0</v>
      </c>
      <c r="U33" s="44">
        <v>50000000</v>
      </c>
      <c r="V33" s="44">
        <v>0</v>
      </c>
      <c r="W33" s="44">
        <v>0</v>
      </c>
      <c r="X33" s="44">
        <v>0</v>
      </c>
      <c r="Y33" s="44">
        <v>0</v>
      </c>
      <c r="Z33" s="44">
        <v>0</v>
      </c>
      <c r="AA33" s="44">
        <v>0</v>
      </c>
      <c r="AB33" s="44">
        <v>0</v>
      </c>
      <c r="AE33" s="44">
        <v>0</v>
      </c>
      <c r="AF33" s="44">
        <v>0</v>
      </c>
      <c r="AG33" s="44">
        <v>0</v>
      </c>
      <c r="AH33" s="44">
        <v>0</v>
      </c>
      <c r="AI33" s="44">
        <v>0</v>
      </c>
      <c r="AJ33" s="44">
        <v>0</v>
      </c>
      <c r="AK33" s="44">
        <f t="shared" si="0"/>
        <v>0</v>
      </c>
      <c r="AL33" s="44">
        <f t="shared" si="1"/>
        <v>0</v>
      </c>
      <c r="AM33" s="44">
        <f t="shared" si="2"/>
        <v>0</v>
      </c>
    </row>
    <row r="34" spans="1:39" hidden="1" x14ac:dyDescent="0.25">
      <c r="A34" t="s">
        <v>354</v>
      </c>
      <c r="B34" t="s">
        <v>857</v>
      </c>
      <c r="C34" t="s">
        <v>380</v>
      </c>
      <c r="D34" t="s">
        <v>381</v>
      </c>
      <c r="E34" t="s">
        <v>382</v>
      </c>
      <c r="F34" t="s">
        <v>26</v>
      </c>
      <c r="G34" t="s">
        <v>359</v>
      </c>
      <c r="H34" t="s">
        <v>858</v>
      </c>
      <c r="I34" t="s">
        <v>383</v>
      </c>
      <c r="J34" t="s">
        <v>384</v>
      </c>
      <c r="K34" t="s">
        <v>385</v>
      </c>
      <c r="L34" t="s">
        <v>363</v>
      </c>
      <c r="M34" t="s">
        <v>385</v>
      </c>
      <c r="N34">
        <v>8036</v>
      </c>
      <c r="O34">
        <v>115</v>
      </c>
      <c r="P34" t="s">
        <v>949</v>
      </c>
      <c r="Q34" s="44">
        <v>0</v>
      </c>
      <c r="R34" s="44">
        <v>0</v>
      </c>
      <c r="S34" s="44">
        <v>0</v>
      </c>
      <c r="T34" s="44">
        <v>0</v>
      </c>
      <c r="U34" s="44">
        <v>0</v>
      </c>
      <c r="V34" s="44">
        <v>0</v>
      </c>
      <c r="W34" s="44">
        <v>0</v>
      </c>
      <c r="X34" s="44">
        <v>0</v>
      </c>
      <c r="Y34" s="44">
        <v>0</v>
      </c>
      <c r="Z34" s="44">
        <v>0</v>
      </c>
      <c r="AA34" s="44">
        <v>0</v>
      </c>
      <c r="AB34" s="44">
        <v>0</v>
      </c>
      <c r="AE34" s="44">
        <v>0</v>
      </c>
      <c r="AF34" s="44">
        <v>0</v>
      </c>
      <c r="AG34" s="44">
        <v>0</v>
      </c>
      <c r="AH34" s="44">
        <v>0</v>
      </c>
      <c r="AI34" s="44">
        <v>0</v>
      </c>
      <c r="AJ34" s="44">
        <v>0</v>
      </c>
      <c r="AK34" s="44">
        <f t="shared" si="0"/>
        <v>0</v>
      </c>
      <c r="AL34" s="44">
        <f t="shared" si="1"/>
        <v>0</v>
      </c>
      <c r="AM34" s="44">
        <f t="shared" si="2"/>
        <v>0</v>
      </c>
    </row>
    <row r="35" spans="1:39" hidden="1" x14ac:dyDescent="0.25">
      <c r="A35" t="s">
        <v>354</v>
      </c>
      <c r="B35" t="s">
        <v>857</v>
      </c>
      <c r="C35" t="s">
        <v>380</v>
      </c>
      <c r="D35" t="s">
        <v>381</v>
      </c>
      <c r="E35" t="s">
        <v>390</v>
      </c>
      <c r="F35" t="s">
        <v>26</v>
      </c>
      <c r="G35" t="s">
        <v>359</v>
      </c>
      <c r="H35" t="s">
        <v>858</v>
      </c>
      <c r="I35" t="s">
        <v>383</v>
      </c>
      <c r="J35" t="s">
        <v>384</v>
      </c>
      <c r="K35" t="s">
        <v>391</v>
      </c>
      <c r="L35" t="s">
        <v>363</v>
      </c>
      <c r="M35" t="s">
        <v>391</v>
      </c>
      <c r="N35">
        <v>7993</v>
      </c>
      <c r="O35">
        <v>88</v>
      </c>
      <c r="P35" t="s">
        <v>846</v>
      </c>
      <c r="Q35" s="44">
        <v>0</v>
      </c>
      <c r="R35" s="44">
        <v>1321777205</v>
      </c>
      <c r="S35" s="44">
        <v>0</v>
      </c>
      <c r="T35" s="44">
        <v>0</v>
      </c>
      <c r="U35" s="44">
        <v>0</v>
      </c>
      <c r="V35" s="44">
        <v>1321777205</v>
      </c>
      <c r="W35" s="44">
        <v>1066490545</v>
      </c>
      <c r="X35" s="44">
        <v>1066490545</v>
      </c>
      <c r="Y35" s="44">
        <v>255286660</v>
      </c>
      <c r="Z35" s="44">
        <v>1066490545</v>
      </c>
      <c r="AA35" s="44">
        <v>0</v>
      </c>
      <c r="AB35" s="44">
        <v>255286660</v>
      </c>
      <c r="AE35" s="44">
        <v>1060490545</v>
      </c>
      <c r="AF35" s="44">
        <v>243623538</v>
      </c>
      <c r="AG35" s="44">
        <v>-58290916</v>
      </c>
      <c r="AH35" s="44" t="s">
        <v>256</v>
      </c>
      <c r="AI35" s="44">
        <v>243623538</v>
      </c>
      <c r="AJ35" s="44">
        <v>233123538</v>
      </c>
      <c r="AK35" s="44">
        <f t="shared" si="0"/>
        <v>0</v>
      </c>
      <c r="AL35" s="44">
        <f t="shared" si="1"/>
        <v>0</v>
      </c>
      <c r="AM35" s="44">
        <f t="shared" si="2"/>
        <v>6000000</v>
      </c>
    </row>
    <row r="36" spans="1:39" hidden="1" x14ac:dyDescent="0.25">
      <c r="A36" t="s">
        <v>417</v>
      </c>
      <c r="B36" t="s">
        <v>355</v>
      </c>
      <c r="C36" t="s">
        <v>356</v>
      </c>
      <c r="D36" t="s">
        <v>418</v>
      </c>
      <c r="E36" t="s">
        <v>419</v>
      </c>
      <c r="F36" t="s">
        <v>26</v>
      </c>
      <c r="G36" t="s">
        <v>420</v>
      </c>
      <c r="H36" t="s">
        <v>33</v>
      </c>
      <c r="I36" t="s">
        <v>360</v>
      </c>
      <c r="J36" t="s">
        <v>421</v>
      </c>
      <c r="K36" t="s">
        <v>422</v>
      </c>
      <c r="L36" t="s">
        <v>363</v>
      </c>
      <c r="M36" t="s">
        <v>422</v>
      </c>
      <c r="N36">
        <v>7910</v>
      </c>
      <c r="O36">
        <v>18</v>
      </c>
      <c r="P36" t="s">
        <v>423</v>
      </c>
      <c r="Q36" s="44">
        <v>325000000</v>
      </c>
      <c r="R36" s="44">
        <v>0</v>
      </c>
      <c r="S36" s="44">
        <v>0</v>
      </c>
      <c r="T36" s="44">
        <v>0</v>
      </c>
      <c r="U36" s="44">
        <v>0</v>
      </c>
      <c r="V36" s="44">
        <v>325000000</v>
      </c>
      <c r="W36" s="44">
        <v>320000000</v>
      </c>
      <c r="X36" s="44">
        <v>320000000</v>
      </c>
      <c r="Y36" s="44">
        <v>5000000</v>
      </c>
      <c r="Z36" s="44">
        <v>320000000</v>
      </c>
      <c r="AA36" s="44">
        <v>0</v>
      </c>
      <c r="AB36" s="44">
        <f>V36-Z36</f>
        <v>5000000</v>
      </c>
      <c r="AE36" s="44">
        <v>320000000</v>
      </c>
      <c r="AF36" s="44">
        <v>315000000</v>
      </c>
      <c r="AG36" s="44">
        <v>0</v>
      </c>
      <c r="AH36" s="44">
        <v>0</v>
      </c>
      <c r="AI36" s="44">
        <v>315000000</v>
      </c>
      <c r="AJ36" s="44">
        <v>315000000</v>
      </c>
      <c r="AK36" s="44">
        <f t="shared" si="0"/>
        <v>0</v>
      </c>
      <c r="AL36" s="44">
        <f t="shared" si="1"/>
        <v>0</v>
      </c>
      <c r="AM36" s="44">
        <f t="shared" si="2"/>
        <v>0</v>
      </c>
    </row>
    <row r="37" spans="1:39" hidden="1" x14ac:dyDescent="0.25">
      <c r="A37" t="s">
        <v>417</v>
      </c>
      <c r="B37" t="s">
        <v>355</v>
      </c>
      <c r="C37" t="s">
        <v>356</v>
      </c>
      <c r="D37" t="s">
        <v>418</v>
      </c>
      <c r="E37" t="s">
        <v>424</v>
      </c>
      <c r="F37" t="s">
        <v>26</v>
      </c>
      <c r="G37" t="s">
        <v>420</v>
      </c>
      <c r="H37" t="s">
        <v>33</v>
      </c>
      <c r="I37" t="s">
        <v>360</v>
      </c>
      <c r="J37" t="s">
        <v>421</v>
      </c>
      <c r="K37" t="s">
        <v>425</v>
      </c>
      <c r="L37" t="s">
        <v>363</v>
      </c>
      <c r="M37" t="s">
        <v>425</v>
      </c>
      <c r="N37">
        <v>7911</v>
      </c>
      <c r="O37">
        <v>19</v>
      </c>
      <c r="P37" t="s">
        <v>426</v>
      </c>
      <c r="Q37" s="44">
        <v>200000000</v>
      </c>
      <c r="R37" s="44">
        <v>200000000</v>
      </c>
      <c r="S37" s="44">
        <v>0</v>
      </c>
      <c r="T37" s="44">
        <v>0</v>
      </c>
      <c r="U37" s="44">
        <v>0</v>
      </c>
      <c r="V37" s="44">
        <v>400000000</v>
      </c>
      <c r="W37" s="44">
        <v>400000000</v>
      </c>
      <c r="X37" s="44">
        <v>400000000</v>
      </c>
      <c r="Y37" s="44">
        <v>0</v>
      </c>
      <c r="Z37" s="44">
        <v>400000000</v>
      </c>
      <c r="AA37" s="44">
        <v>0</v>
      </c>
      <c r="AB37" s="44">
        <v>0</v>
      </c>
      <c r="AE37" s="44">
        <v>400000000</v>
      </c>
      <c r="AF37" s="44">
        <v>237011960</v>
      </c>
      <c r="AG37" s="44">
        <v>0</v>
      </c>
      <c r="AH37" s="44">
        <v>0</v>
      </c>
      <c r="AI37" s="44">
        <v>237011960</v>
      </c>
      <c r="AJ37" s="44">
        <v>237011960</v>
      </c>
      <c r="AK37" s="44">
        <f t="shared" si="0"/>
        <v>0</v>
      </c>
      <c r="AL37" s="44">
        <f t="shared" si="1"/>
        <v>0</v>
      </c>
      <c r="AM37" s="44">
        <f t="shared" si="2"/>
        <v>0</v>
      </c>
    </row>
    <row r="38" spans="1:39" hidden="1" x14ac:dyDescent="0.25">
      <c r="A38" t="s">
        <v>417</v>
      </c>
      <c r="B38" t="s">
        <v>355</v>
      </c>
      <c r="C38" t="s">
        <v>356</v>
      </c>
      <c r="D38" t="s">
        <v>418</v>
      </c>
      <c r="E38" t="s">
        <v>427</v>
      </c>
      <c r="F38" t="s">
        <v>26</v>
      </c>
      <c r="G38" t="s">
        <v>420</v>
      </c>
      <c r="H38" t="s">
        <v>33</v>
      </c>
      <c r="I38" t="s">
        <v>360</v>
      </c>
      <c r="J38" t="s">
        <v>421</v>
      </c>
      <c r="K38" t="s">
        <v>428</v>
      </c>
      <c r="L38" t="s">
        <v>363</v>
      </c>
      <c r="M38" t="s">
        <v>428</v>
      </c>
      <c r="N38">
        <v>7912</v>
      </c>
      <c r="O38">
        <v>20</v>
      </c>
      <c r="P38" t="s">
        <v>429</v>
      </c>
      <c r="Q38" s="44">
        <v>500000000</v>
      </c>
      <c r="R38" s="44">
        <v>0</v>
      </c>
      <c r="S38" s="44">
        <v>0</v>
      </c>
      <c r="T38" s="44">
        <v>0</v>
      </c>
      <c r="U38" s="44">
        <v>0</v>
      </c>
      <c r="V38" s="44">
        <v>500000000</v>
      </c>
      <c r="W38" s="44">
        <v>498443828</v>
      </c>
      <c r="X38" s="44">
        <v>498443828</v>
      </c>
      <c r="Y38" s="44">
        <v>1556172</v>
      </c>
      <c r="Z38" s="44">
        <v>498443828</v>
      </c>
      <c r="AA38" s="44">
        <v>0</v>
      </c>
      <c r="AB38" s="44">
        <v>1556172</v>
      </c>
      <c r="AE38" s="44">
        <v>498443828</v>
      </c>
      <c r="AF38" s="44">
        <v>293464542</v>
      </c>
      <c r="AG38" s="44">
        <v>-1556172</v>
      </c>
      <c r="AH38" s="44">
        <v>0</v>
      </c>
      <c r="AI38" s="44">
        <v>293464542</v>
      </c>
      <c r="AJ38" s="44">
        <v>293464542</v>
      </c>
      <c r="AK38" s="44">
        <f t="shared" si="0"/>
        <v>0</v>
      </c>
      <c r="AL38" s="44">
        <f t="shared" si="1"/>
        <v>0</v>
      </c>
      <c r="AM38" s="44">
        <f t="shared" si="2"/>
        <v>0</v>
      </c>
    </row>
    <row r="39" spans="1:39" hidden="1" x14ac:dyDescent="0.25">
      <c r="A39" t="s">
        <v>417</v>
      </c>
      <c r="B39" t="s">
        <v>983</v>
      </c>
      <c r="C39" t="s">
        <v>356</v>
      </c>
      <c r="D39" t="s">
        <v>418</v>
      </c>
      <c r="E39" t="s">
        <v>427</v>
      </c>
      <c r="F39" t="s">
        <v>26</v>
      </c>
      <c r="G39" t="s">
        <v>420</v>
      </c>
      <c r="H39" t="s">
        <v>984</v>
      </c>
      <c r="I39" t="s">
        <v>360</v>
      </c>
      <c r="J39" t="s">
        <v>421</v>
      </c>
      <c r="K39" t="s">
        <v>428</v>
      </c>
      <c r="L39" t="s">
        <v>363</v>
      </c>
      <c r="M39" t="s">
        <v>428</v>
      </c>
      <c r="N39">
        <v>8043</v>
      </c>
      <c r="O39">
        <v>121</v>
      </c>
      <c r="P39" t="s">
        <v>985</v>
      </c>
      <c r="Q39" s="44">
        <v>0</v>
      </c>
      <c r="R39" s="44">
        <v>1500000000</v>
      </c>
      <c r="S39" s="44">
        <v>0</v>
      </c>
      <c r="T39" s="44">
        <v>0</v>
      </c>
      <c r="U39" s="44">
        <v>0</v>
      </c>
      <c r="V39" s="44">
        <v>1500000000</v>
      </c>
      <c r="W39" s="44">
        <v>1500000000</v>
      </c>
      <c r="X39" s="44">
        <v>1500000000</v>
      </c>
      <c r="Y39" s="44">
        <v>0</v>
      </c>
      <c r="Z39" s="44">
        <v>1500000000</v>
      </c>
      <c r="AA39" s="44">
        <v>0</v>
      </c>
      <c r="AB39" s="44">
        <v>0</v>
      </c>
      <c r="AE39" s="44">
        <v>1500000000</v>
      </c>
      <c r="AF39" s="44">
        <v>0</v>
      </c>
      <c r="AG39" s="44">
        <v>0</v>
      </c>
      <c r="AH39" s="44">
        <v>0</v>
      </c>
      <c r="AI39" s="44">
        <v>0</v>
      </c>
      <c r="AJ39" s="44">
        <v>0</v>
      </c>
      <c r="AK39" s="44">
        <f t="shared" si="0"/>
        <v>0</v>
      </c>
      <c r="AL39" s="44">
        <f t="shared" si="1"/>
        <v>0</v>
      </c>
      <c r="AM39" s="44">
        <f t="shared" si="2"/>
        <v>0</v>
      </c>
    </row>
    <row r="40" spans="1:39" hidden="1" x14ac:dyDescent="0.25">
      <c r="A40" t="s">
        <v>430</v>
      </c>
      <c r="B40" t="s">
        <v>355</v>
      </c>
      <c r="C40" t="s">
        <v>380</v>
      </c>
      <c r="D40" t="s">
        <v>431</v>
      </c>
      <c r="E40" t="s">
        <v>438</v>
      </c>
      <c r="F40" t="s">
        <v>26</v>
      </c>
      <c r="G40" t="s">
        <v>433</v>
      </c>
      <c r="H40" t="s">
        <v>33</v>
      </c>
      <c r="I40" t="s">
        <v>383</v>
      </c>
      <c r="J40" t="s">
        <v>434</v>
      </c>
      <c r="K40" t="s">
        <v>440</v>
      </c>
      <c r="L40" t="s">
        <v>363</v>
      </c>
      <c r="M40" t="s">
        <v>859</v>
      </c>
      <c r="N40">
        <v>8002</v>
      </c>
      <c r="O40">
        <v>94</v>
      </c>
      <c r="P40" t="s">
        <v>860</v>
      </c>
      <c r="Q40" s="44">
        <v>0</v>
      </c>
      <c r="R40" s="44">
        <v>0</v>
      </c>
      <c r="S40" s="44">
        <v>0</v>
      </c>
      <c r="T40" s="44">
        <v>0</v>
      </c>
      <c r="U40" s="44">
        <v>0</v>
      </c>
      <c r="V40" s="44">
        <v>0</v>
      </c>
      <c r="W40" s="44">
        <v>0</v>
      </c>
      <c r="X40" s="44">
        <v>0</v>
      </c>
      <c r="Y40" s="44">
        <v>0</v>
      </c>
      <c r="Z40" s="44">
        <v>0</v>
      </c>
      <c r="AA40" s="44">
        <v>0</v>
      </c>
      <c r="AB40" s="44">
        <v>0</v>
      </c>
      <c r="AE40" s="44">
        <v>0</v>
      </c>
      <c r="AF40" s="44">
        <v>0</v>
      </c>
      <c r="AG40" s="44">
        <v>0</v>
      </c>
      <c r="AH40" s="44">
        <v>0</v>
      </c>
      <c r="AI40" s="44">
        <v>0</v>
      </c>
      <c r="AJ40" s="44">
        <v>0</v>
      </c>
      <c r="AK40" s="44">
        <f t="shared" si="0"/>
        <v>0</v>
      </c>
      <c r="AL40" s="44">
        <f t="shared" si="1"/>
        <v>0</v>
      </c>
      <c r="AM40" s="44">
        <f t="shared" si="2"/>
        <v>0</v>
      </c>
    </row>
    <row r="41" spans="1:39" hidden="1" x14ac:dyDescent="0.25">
      <c r="A41" t="s">
        <v>430</v>
      </c>
      <c r="B41" t="s">
        <v>355</v>
      </c>
      <c r="C41" t="s">
        <v>380</v>
      </c>
      <c r="D41" t="s">
        <v>431</v>
      </c>
      <c r="E41" t="s">
        <v>432</v>
      </c>
      <c r="F41" t="s">
        <v>26</v>
      </c>
      <c r="G41" t="s">
        <v>433</v>
      </c>
      <c r="H41" t="s">
        <v>33</v>
      </c>
      <c r="I41" t="s">
        <v>383</v>
      </c>
      <c r="J41" t="s">
        <v>434</v>
      </c>
      <c r="K41" t="s">
        <v>435</v>
      </c>
      <c r="L41" t="s">
        <v>363</v>
      </c>
      <c r="M41" t="s">
        <v>435</v>
      </c>
      <c r="N41">
        <v>7913</v>
      </c>
      <c r="O41">
        <v>21</v>
      </c>
      <c r="P41" t="s">
        <v>436</v>
      </c>
      <c r="Q41" s="44">
        <v>50000000</v>
      </c>
      <c r="R41" s="44">
        <v>0</v>
      </c>
      <c r="S41" s="44">
        <v>0</v>
      </c>
      <c r="T41" s="44">
        <v>0</v>
      </c>
      <c r="U41" s="44">
        <v>0</v>
      </c>
      <c r="V41" s="44">
        <v>50000000</v>
      </c>
      <c r="W41" s="44">
        <v>35592848</v>
      </c>
      <c r="X41" s="44">
        <v>35592848</v>
      </c>
      <c r="Y41" s="44">
        <v>14407152</v>
      </c>
      <c r="Z41" s="44">
        <v>35592848</v>
      </c>
      <c r="AA41" s="44">
        <v>0</v>
      </c>
      <c r="AB41" s="44">
        <v>14407152</v>
      </c>
      <c r="AE41" s="44">
        <v>35592848</v>
      </c>
      <c r="AF41" s="44">
        <v>0</v>
      </c>
      <c r="AG41" s="44">
        <v>-8898211</v>
      </c>
      <c r="AH41" s="44" t="s">
        <v>256</v>
      </c>
      <c r="AI41" s="44">
        <v>0</v>
      </c>
      <c r="AJ41" s="44">
        <v>0</v>
      </c>
      <c r="AK41" s="44">
        <f t="shared" si="0"/>
        <v>0</v>
      </c>
      <c r="AL41" s="44">
        <f t="shared" si="1"/>
        <v>0</v>
      </c>
      <c r="AM41" s="44">
        <f t="shared" si="2"/>
        <v>0</v>
      </c>
    </row>
    <row r="42" spans="1:39" hidden="1" x14ac:dyDescent="0.25">
      <c r="A42" t="s">
        <v>430</v>
      </c>
      <c r="B42" t="s">
        <v>355</v>
      </c>
      <c r="C42" t="s">
        <v>437</v>
      </c>
      <c r="D42" t="s">
        <v>431</v>
      </c>
      <c r="E42" t="s">
        <v>438</v>
      </c>
      <c r="F42" t="s">
        <v>26</v>
      </c>
      <c r="G42" t="s">
        <v>433</v>
      </c>
      <c r="H42" t="s">
        <v>33</v>
      </c>
      <c r="I42" t="s">
        <v>439</v>
      </c>
      <c r="J42" t="s">
        <v>434</v>
      </c>
      <c r="K42" t="s">
        <v>440</v>
      </c>
      <c r="L42" t="s">
        <v>363</v>
      </c>
      <c r="M42" t="s">
        <v>440</v>
      </c>
      <c r="N42">
        <v>7914</v>
      </c>
      <c r="O42">
        <v>22</v>
      </c>
      <c r="P42" t="s">
        <v>441</v>
      </c>
      <c r="Q42" s="44">
        <v>850000000</v>
      </c>
      <c r="R42" s="44">
        <v>0</v>
      </c>
      <c r="S42" s="44">
        <v>0</v>
      </c>
      <c r="T42" s="44">
        <v>0</v>
      </c>
      <c r="U42" s="44">
        <v>0</v>
      </c>
      <c r="V42" s="44">
        <v>850000000</v>
      </c>
      <c r="W42" s="44">
        <v>850000000</v>
      </c>
      <c r="X42" s="44">
        <v>850000000</v>
      </c>
      <c r="Y42" s="44">
        <v>0</v>
      </c>
      <c r="Z42" s="44">
        <v>850000000</v>
      </c>
      <c r="AA42" s="44">
        <v>0</v>
      </c>
      <c r="AB42" s="44">
        <v>0</v>
      </c>
      <c r="AE42" s="44">
        <v>850000000</v>
      </c>
      <c r="AF42" s="44">
        <v>722980000</v>
      </c>
      <c r="AG42" s="44">
        <v>0</v>
      </c>
      <c r="AH42" s="44">
        <v>0</v>
      </c>
      <c r="AI42" s="44">
        <v>722980000</v>
      </c>
      <c r="AJ42" s="44">
        <v>722980000</v>
      </c>
      <c r="AK42" s="44">
        <f t="shared" si="0"/>
        <v>0</v>
      </c>
      <c r="AL42" s="44">
        <f t="shared" si="1"/>
        <v>0</v>
      </c>
      <c r="AM42" s="44">
        <f t="shared" si="2"/>
        <v>0</v>
      </c>
    </row>
    <row r="43" spans="1:39" hidden="1" x14ac:dyDescent="0.25">
      <c r="A43" t="s">
        <v>430</v>
      </c>
      <c r="B43" t="s">
        <v>855</v>
      </c>
      <c r="C43" t="s">
        <v>380</v>
      </c>
      <c r="D43" t="s">
        <v>431</v>
      </c>
      <c r="E43" t="s">
        <v>438</v>
      </c>
      <c r="F43" t="s">
        <v>26</v>
      </c>
      <c r="G43" t="s">
        <v>433</v>
      </c>
      <c r="H43" t="s">
        <v>856</v>
      </c>
      <c r="I43" t="s">
        <v>383</v>
      </c>
      <c r="J43" t="s">
        <v>434</v>
      </c>
      <c r="K43" t="s">
        <v>440</v>
      </c>
      <c r="L43" t="s">
        <v>363</v>
      </c>
      <c r="M43" t="s">
        <v>848</v>
      </c>
      <c r="N43">
        <v>8003</v>
      </c>
      <c r="O43">
        <v>95</v>
      </c>
      <c r="P43" t="s">
        <v>847</v>
      </c>
      <c r="Q43" s="44">
        <v>0</v>
      </c>
      <c r="R43" s="44">
        <v>2465000000</v>
      </c>
      <c r="S43" s="44">
        <v>0</v>
      </c>
      <c r="T43" s="44">
        <v>0</v>
      </c>
      <c r="U43" s="44">
        <v>55000000</v>
      </c>
      <c r="V43" s="44">
        <v>2410000000</v>
      </c>
      <c r="W43" s="44">
        <v>795000000</v>
      </c>
      <c r="X43" s="44">
        <v>795000000</v>
      </c>
      <c r="Y43" s="44">
        <v>1615000000</v>
      </c>
      <c r="Z43" s="44">
        <v>795000000</v>
      </c>
      <c r="AA43" s="44">
        <v>0</v>
      </c>
      <c r="AB43" s="44">
        <v>1615000000</v>
      </c>
      <c r="AE43" s="44">
        <v>795000000</v>
      </c>
      <c r="AF43" s="44">
        <v>289190227</v>
      </c>
      <c r="AG43" s="44">
        <v>0</v>
      </c>
      <c r="AH43" s="44">
        <v>0</v>
      </c>
      <c r="AI43" s="44">
        <v>289190227</v>
      </c>
      <c r="AJ43" s="44">
        <v>289190227</v>
      </c>
      <c r="AK43" s="44">
        <f t="shared" si="0"/>
        <v>0</v>
      </c>
      <c r="AL43" s="44">
        <f t="shared" si="1"/>
        <v>0</v>
      </c>
      <c r="AM43" s="44">
        <f t="shared" si="2"/>
        <v>0</v>
      </c>
    </row>
    <row r="44" spans="1:39" hidden="1" x14ac:dyDescent="0.25">
      <c r="A44" t="s">
        <v>430</v>
      </c>
      <c r="B44" t="s">
        <v>855</v>
      </c>
      <c r="C44" t="s">
        <v>380</v>
      </c>
      <c r="D44" t="s">
        <v>431</v>
      </c>
      <c r="E44" t="s">
        <v>432</v>
      </c>
      <c r="F44" t="s">
        <v>26</v>
      </c>
      <c r="G44" t="s">
        <v>433</v>
      </c>
      <c r="H44" t="s">
        <v>856</v>
      </c>
      <c r="I44" t="s">
        <v>383</v>
      </c>
      <c r="J44" t="s">
        <v>434</v>
      </c>
      <c r="K44" t="s">
        <v>435</v>
      </c>
      <c r="L44" t="s">
        <v>363</v>
      </c>
      <c r="M44" t="s">
        <v>435</v>
      </c>
      <c r="N44">
        <v>7994</v>
      </c>
      <c r="O44">
        <v>89</v>
      </c>
      <c r="P44" t="s">
        <v>849</v>
      </c>
      <c r="Q44" s="44">
        <v>0</v>
      </c>
      <c r="R44" s="44">
        <v>0</v>
      </c>
      <c r="S44" s="44">
        <v>0</v>
      </c>
      <c r="T44" s="44">
        <v>0</v>
      </c>
      <c r="U44" s="44">
        <v>0</v>
      </c>
      <c r="V44" s="44">
        <v>0</v>
      </c>
      <c r="W44" s="44">
        <v>0</v>
      </c>
      <c r="X44" s="44">
        <v>0</v>
      </c>
      <c r="Y44" s="44">
        <v>0</v>
      </c>
      <c r="Z44" s="44">
        <v>0</v>
      </c>
      <c r="AA44" s="44">
        <v>0</v>
      </c>
      <c r="AB44" s="44">
        <v>0</v>
      </c>
      <c r="AE44" s="44">
        <v>0</v>
      </c>
      <c r="AF44" s="44">
        <v>0</v>
      </c>
      <c r="AG44" s="44">
        <v>0</v>
      </c>
      <c r="AH44" s="44">
        <v>0</v>
      </c>
      <c r="AI44" s="44">
        <v>0</v>
      </c>
      <c r="AJ44" s="44">
        <v>0</v>
      </c>
      <c r="AK44" s="44">
        <f t="shared" si="0"/>
        <v>0</v>
      </c>
      <c r="AL44" s="44">
        <f t="shared" si="1"/>
        <v>0</v>
      </c>
      <c r="AM44" s="44">
        <f t="shared" si="2"/>
        <v>0</v>
      </c>
    </row>
    <row r="45" spans="1:39" hidden="1" x14ac:dyDescent="0.25">
      <c r="A45" t="s">
        <v>442</v>
      </c>
      <c r="B45" t="s">
        <v>355</v>
      </c>
      <c r="C45" t="s">
        <v>443</v>
      </c>
      <c r="D45" t="s">
        <v>444</v>
      </c>
      <c r="E45" t="s">
        <v>459</v>
      </c>
      <c r="F45" t="s">
        <v>26</v>
      </c>
      <c r="G45" t="s">
        <v>446</v>
      </c>
      <c r="H45" t="s">
        <v>33</v>
      </c>
      <c r="I45" t="s">
        <v>447</v>
      </c>
      <c r="J45" t="s">
        <v>448</v>
      </c>
      <c r="K45" t="s">
        <v>460</v>
      </c>
      <c r="L45" t="s">
        <v>363</v>
      </c>
      <c r="M45" t="s">
        <v>460</v>
      </c>
      <c r="N45">
        <v>8004</v>
      </c>
      <c r="O45">
        <v>96</v>
      </c>
      <c r="P45" t="s">
        <v>861</v>
      </c>
      <c r="Q45" s="44">
        <v>0</v>
      </c>
      <c r="R45" s="44">
        <v>490000000</v>
      </c>
      <c r="S45" s="44">
        <v>0</v>
      </c>
      <c r="T45" s="44">
        <v>0</v>
      </c>
      <c r="U45" s="44">
        <v>490000000</v>
      </c>
      <c r="V45" s="44">
        <v>0</v>
      </c>
      <c r="W45" s="44">
        <v>0</v>
      </c>
      <c r="X45" s="44">
        <v>0</v>
      </c>
      <c r="Y45" s="44">
        <v>0</v>
      </c>
      <c r="Z45" s="44">
        <v>0</v>
      </c>
      <c r="AA45" s="44">
        <v>0</v>
      </c>
      <c r="AB45" s="44">
        <v>0</v>
      </c>
      <c r="AE45" s="44">
        <v>0</v>
      </c>
      <c r="AF45" s="44">
        <v>0</v>
      </c>
      <c r="AG45" s="44">
        <v>0</v>
      </c>
      <c r="AH45" s="44">
        <v>0</v>
      </c>
      <c r="AI45" s="44">
        <v>0</v>
      </c>
      <c r="AJ45" s="44">
        <v>0</v>
      </c>
      <c r="AK45" s="44">
        <f t="shared" si="0"/>
        <v>0</v>
      </c>
      <c r="AL45" s="44">
        <f t="shared" si="1"/>
        <v>0</v>
      </c>
      <c r="AM45" s="44">
        <f t="shared" si="2"/>
        <v>0</v>
      </c>
    </row>
    <row r="46" spans="1:39" hidden="1" x14ac:dyDescent="0.25">
      <c r="A46" t="s">
        <v>442</v>
      </c>
      <c r="B46" t="s">
        <v>355</v>
      </c>
      <c r="C46" t="s">
        <v>443</v>
      </c>
      <c r="D46" t="s">
        <v>444</v>
      </c>
      <c r="E46" t="s">
        <v>831</v>
      </c>
      <c r="F46" t="s">
        <v>26</v>
      </c>
      <c r="G46" t="s">
        <v>446</v>
      </c>
      <c r="H46" t="s">
        <v>33</v>
      </c>
      <c r="I46" t="s">
        <v>447</v>
      </c>
      <c r="J46" t="s">
        <v>448</v>
      </c>
      <c r="K46" t="s">
        <v>832</v>
      </c>
      <c r="L46" t="s">
        <v>363</v>
      </c>
      <c r="M46" t="s">
        <v>833</v>
      </c>
      <c r="N46">
        <v>8020</v>
      </c>
      <c r="O46">
        <v>105</v>
      </c>
      <c r="P46" t="s">
        <v>862</v>
      </c>
      <c r="Q46" s="44">
        <v>0</v>
      </c>
      <c r="R46" s="44">
        <v>350000000</v>
      </c>
      <c r="S46" s="44">
        <v>0</v>
      </c>
      <c r="T46" s="44">
        <v>495000000</v>
      </c>
      <c r="U46" s="44">
        <v>350000000</v>
      </c>
      <c r="V46" s="44">
        <v>495000000</v>
      </c>
      <c r="W46" s="44">
        <v>447528584</v>
      </c>
      <c r="X46" s="44">
        <v>447528584</v>
      </c>
      <c r="Y46" s="44">
        <v>47471416</v>
      </c>
      <c r="Z46" s="44">
        <v>447528584</v>
      </c>
      <c r="AA46" s="44">
        <v>0</v>
      </c>
      <c r="AB46" s="44">
        <v>47471416</v>
      </c>
      <c r="AE46" s="44">
        <v>275946463</v>
      </c>
      <c r="AF46" s="44">
        <v>447528584</v>
      </c>
      <c r="AG46" s="44">
        <v>-2</v>
      </c>
      <c r="AH46" s="44" t="s">
        <v>256</v>
      </c>
      <c r="AI46" s="44">
        <v>447528584</v>
      </c>
      <c r="AJ46" s="44">
        <v>275946463</v>
      </c>
      <c r="AK46" s="44">
        <f t="shared" si="0"/>
        <v>0</v>
      </c>
      <c r="AL46" s="44">
        <f t="shared" si="1"/>
        <v>0</v>
      </c>
      <c r="AM46" s="44">
        <f t="shared" si="2"/>
        <v>171582121</v>
      </c>
    </row>
    <row r="47" spans="1:39" hidden="1" x14ac:dyDescent="0.25">
      <c r="A47" t="s">
        <v>442</v>
      </c>
      <c r="B47" t="s">
        <v>355</v>
      </c>
      <c r="C47" t="s">
        <v>443</v>
      </c>
      <c r="D47" t="s">
        <v>444</v>
      </c>
      <c r="E47" t="s">
        <v>445</v>
      </c>
      <c r="F47" t="s">
        <v>26</v>
      </c>
      <c r="G47" t="s">
        <v>446</v>
      </c>
      <c r="H47" t="s">
        <v>33</v>
      </c>
      <c r="I47" t="s">
        <v>447</v>
      </c>
      <c r="J47" t="s">
        <v>448</v>
      </c>
      <c r="K47" t="s">
        <v>449</v>
      </c>
      <c r="L47" t="s">
        <v>363</v>
      </c>
      <c r="M47" t="s">
        <v>449</v>
      </c>
      <c r="N47">
        <v>7915</v>
      </c>
      <c r="O47">
        <v>23</v>
      </c>
      <c r="P47" t="s">
        <v>450</v>
      </c>
      <c r="Q47" s="44">
        <v>221062382</v>
      </c>
      <c r="R47" s="44">
        <v>0</v>
      </c>
      <c r="S47" s="44">
        <v>0</v>
      </c>
      <c r="T47" s="44">
        <v>0</v>
      </c>
      <c r="U47" s="44">
        <v>5000000</v>
      </c>
      <c r="V47" s="44">
        <v>216062382</v>
      </c>
      <c r="W47" s="44">
        <v>215982196</v>
      </c>
      <c r="X47" s="44">
        <v>215982196</v>
      </c>
      <c r="Y47" s="44">
        <v>80186</v>
      </c>
      <c r="Z47" s="44">
        <v>215982196</v>
      </c>
      <c r="AA47" s="44">
        <v>0</v>
      </c>
      <c r="AB47" s="44">
        <v>80186</v>
      </c>
      <c r="AE47" s="44">
        <v>107991098</v>
      </c>
      <c r="AF47" s="44">
        <v>107991098</v>
      </c>
      <c r="AG47" s="44">
        <v>-3</v>
      </c>
      <c r="AH47" s="44" t="s">
        <v>256</v>
      </c>
      <c r="AI47" s="44">
        <v>107991098</v>
      </c>
      <c r="AJ47" s="44">
        <v>0</v>
      </c>
      <c r="AK47" s="44">
        <f t="shared" si="0"/>
        <v>0</v>
      </c>
      <c r="AL47" s="44">
        <f t="shared" si="1"/>
        <v>0</v>
      </c>
      <c r="AM47" s="44">
        <f t="shared" si="2"/>
        <v>107991098</v>
      </c>
    </row>
    <row r="48" spans="1:39" hidden="1" x14ac:dyDescent="0.25">
      <c r="A48" t="s">
        <v>442</v>
      </c>
      <c r="B48" t="s">
        <v>451</v>
      </c>
      <c r="C48" t="s">
        <v>443</v>
      </c>
      <c r="D48" t="s">
        <v>444</v>
      </c>
      <c r="E48" t="s">
        <v>452</v>
      </c>
      <c r="F48" t="s">
        <v>26</v>
      </c>
      <c r="G48" t="s">
        <v>446</v>
      </c>
      <c r="H48" t="s">
        <v>453</v>
      </c>
      <c r="I48" t="s">
        <v>447</v>
      </c>
      <c r="J48" t="s">
        <v>448</v>
      </c>
      <c r="K48" t="s">
        <v>454</v>
      </c>
      <c r="L48" t="s">
        <v>363</v>
      </c>
      <c r="M48" t="s">
        <v>454</v>
      </c>
      <c r="N48">
        <v>7916</v>
      </c>
      <c r="O48">
        <v>24</v>
      </c>
      <c r="P48" t="s">
        <v>455</v>
      </c>
      <c r="Q48" s="44">
        <v>30963803</v>
      </c>
      <c r="R48" s="44">
        <v>0</v>
      </c>
      <c r="S48" s="44">
        <v>30963803</v>
      </c>
      <c r="T48" s="44">
        <v>0</v>
      </c>
      <c r="U48" s="44">
        <v>0</v>
      </c>
      <c r="V48" s="44">
        <v>0</v>
      </c>
      <c r="W48" s="44">
        <v>0</v>
      </c>
      <c r="X48" s="44">
        <v>0</v>
      </c>
      <c r="Y48" s="44">
        <v>0</v>
      </c>
      <c r="Z48" s="44">
        <v>0</v>
      </c>
      <c r="AA48" s="44">
        <v>0</v>
      </c>
      <c r="AB48" s="44">
        <v>0</v>
      </c>
      <c r="AE48" s="44">
        <v>0</v>
      </c>
      <c r="AF48" s="44">
        <v>0</v>
      </c>
      <c r="AG48" s="44">
        <v>0</v>
      </c>
      <c r="AH48" s="44">
        <v>0</v>
      </c>
      <c r="AI48" s="44">
        <v>0</v>
      </c>
      <c r="AJ48" s="44">
        <v>0</v>
      </c>
      <c r="AK48" s="44">
        <f t="shared" si="0"/>
        <v>0</v>
      </c>
      <c r="AL48" s="44">
        <f t="shared" si="1"/>
        <v>0</v>
      </c>
      <c r="AM48" s="44">
        <f t="shared" si="2"/>
        <v>0</v>
      </c>
    </row>
    <row r="49" spans="1:39" hidden="1" x14ac:dyDescent="0.25">
      <c r="A49" t="s">
        <v>442</v>
      </c>
      <c r="B49" t="s">
        <v>451</v>
      </c>
      <c r="C49" t="s">
        <v>443</v>
      </c>
      <c r="D49" t="s">
        <v>444</v>
      </c>
      <c r="E49" t="s">
        <v>456</v>
      </c>
      <c r="F49" t="s">
        <v>26</v>
      </c>
      <c r="G49" t="s">
        <v>446</v>
      </c>
      <c r="H49" t="s">
        <v>453</v>
      </c>
      <c r="I49" t="s">
        <v>447</v>
      </c>
      <c r="J49" t="s">
        <v>448</v>
      </c>
      <c r="K49" t="s">
        <v>457</v>
      </c>
      <c r="L49" t="s">
        <v>363</v>
      </c>
      <c r="M49" t="s">
        <v>457</v>
      </c>
      <c r="N49">
        <v>7917</v>
      </c>
      <c r="O49">
        <v>25</v>
      </c>
      <c r="P49" t="s">
        <v>458</v>
      </c>
      <c r="Q49" s="44">
        <v>1843361019</v>
      </c>
      <c r="R49" s="44">
        <v>0</v>
      </c>
      <c r="S49" s="44">
        <v>620911089</v>
      </c>
      <c r="T49" s="44">
        <v>0</v>
      </c>
      <c r="U49" s="44">
        <v>1135529930</v>
      </c>
      <c r="V49" s="44">
        <v>86920000</v>
      </c>
      <c r="W49" s="44">
        <v>56920000</v>
      </c>
      <c r="X49" s="44">
        <v>56920000</v>
      </c>
      <c r="Y49" s="44">
        <v>30000000</v>
      </c>
      <c r="Z49" s="44">
        <v>56920000</v>
      </c>
      <c r="AA49" s="44">
        <v>0</v>
      </c>
      <c r="AB49" s="44">
        <v>30000000</v>
      </c>
      <c r="AE49" s="44">
        <v>56920000</v>
      </c>
      <c r="AF49" s="44">
        <v>26920000</v>
      </c>
      <c r="AG49" s="44">
        <v>-30000000</v>
      </c>
      <c r="AH49" s="44" t="s">
        <v>256</v>
      </c>
      <c r="AI49" s="44">
        <v>26920000</v>
      </c>
      <c r="AJ49" s="44">
        <v>26920000</v>
      </c>
      <c r="AK49" s="44">
        <f t="shared" si="0"/>
        <v>0</v>
      </c>
      <c r="AL49" s="44">
        <f t="shared" si="1"/>
        <v>0</v>
      </c>
      <c r="AM49" s="44">
        <f t="shared" si="2"/>
        <v>0</v>
      </c>
    </row>
    <row r="50" spans="1:39" hidden="1" x14ac:dyDescent="0.25">
      <c r="A50" t="s">
        <v>442</v>
      </c>
      <c r="B50" t="s">
        <v>451</v>
      </c>
      <c r="C50" t="s">
        <v>443</v>
      </c>
      <c r="D50" t="s">
        <v>444</v>
      </c>
      <c r="E50" t="s">
        <v>459</v>
      </c>
      <c r="F50" t="s">
        <v>26</v>
      </c>
      <c r="G50" t="s">
        <v>446</v>
      </c>
      <c r="H50" t="s">
        <v>453</v>
      </c>
      <c r="I50" t="s">
        <v>447</v>
      </c>
      <c r="J50" t="s">
        <v>448</v>
      </c>
      <c r="K50" t="s">
        <v>460</v>
      </c>
      <c r="L50" t="s">
        <v>363</v>
      </c>
      <c r="M50" t="s">
        <v>460</v>
      </c>
      <c r="N50">
        <v>7918</v>
      </c>
      <c r="O50">
        <v>26</v>
      </c>
      <c r="P50" t="s">
        <v>461</v>
      </c>
      <c r="Q50" s="44">
        <v>50000000</v>
      </c>
      <c r="R50" s="44">
        <v>0</v>
      </c>
      <c r="S50" s="44">
        <v>50000000</v>
      </c>
      <c r="T50" s="44">
        <v>0</v>
      </c>
      <c r="U50" s="44">
        <v>0</v>
      </c>
      <c r="V50" s="44">
        <v>0</v>
      </c>
      <c r="W50" s="44">
        <v>0</v>
      </c>
      <c r="X50" s="44">
        <v>0</v>
      </c>
      <c r="Y50" s="44">
        <v>0</v>
      </c>
      <c r="Z50" s="44">
        <v>0</v>
      </c>
      <c r="AA50" s="44">
        <v>0</v>
      </c>
      <c r="AB50" s="44">
        <v>0</v>
      </c>
      <c r="AE50" s="44">
        <v>0</v>
      </c>
      <c r="AF50" s="44">
        <v>0</v>
      </c>
      <c r="AG50" s="44">
        <v>0</v>
      </c>
      <c r="AH50" s="44">
        <v>0</v>
      </c>
      <c r="AI50" s="44">
        <v>0</v>
      </c>
      <c r="AJ50" s="44">
        <v>0</v>
      </c>
      <c r="AK50" s="44">
        <f t="shared" si="0"/>
        <v>0</v>
      </c>
      <c r="AL50" s="44">
        <f t="shared" si="1"/>
        <v>0</v>
      </c>
      <c r="AM50" s="44">
        <f t="shared" si="2"/>
        <v>0</v>
      </c>
    </row>
    <row r="51" spans="1:39" hidden="1" x14ac:dyDescent="0.25">
      <c r="A51" t="s">
        <v>442</v>
      </c>
      <c r="B51" t="s">
        <v>451</v>
      </c>
      <c r="C51" t="s">
        <v>443</v>
      </c>
      <c r="D51" t="s">
        <v>444</v>
      </c>
      <c r="E51" t="s">
        <v>462</v>
      </c>
      <c r="F51" t="s">
        <v>26</v>
      </c>
      <c r="G51" t="s">
        <v>446</v>
      </c>
      <c r="H51" t="s">
        <v>453</v>
      </c>
      <c r="I51" t="s">
        <v>447</v>
      </c>
      <c r="J51" t="s">
        <v>448</v>
      </c>
      <c r="K51" t="s">
        <v>463</v>
      </c>
      <c r="L51" t="s">
        <v>363</v>
      </c>
      <c r="M51" t="s">
        <v>463</v>
      </c>
      <c r="N51">
        <v>7919</v>
      </c>
      <c r="O51">
        <v>27</v>
      </c>
      <c r="P51" t="s">
        <v>464</v>
      </c>
      <c r="Q51" s="44">
        <v>4000000</v>
      </c>
      <c r="R51" s="44">
        <v>0</v>
      </c>
      <c r="S51" s="44">
        <v>0</v>
      </c>
      <c r="T51" s="44">
        <v>739458751</v>
      </c>
      <c r="U51" s="44">
        <v>0</v>
      </c>
      <c r="V51" s="44">
        <v>743458751</v>
      </c>
      <c r="W51" s="44">
        <v>583522476</v>
      </c>
      <c r="X51" s="44">
        <v>583522476</v>
      </c>
      <c r="Y51" s="44">
        <v>159936275</v>
      </c>
      <c r="Z51" s="44">
        <v>583522476</v>
      </c>
      <c r="AA51" s="44">
        <v>0</v>
      </c>
      <c r="AB51" s="44">
        <v>159936275</v>
      </c>
      <c r="AE51" s="44">
        <v>454602201</v>
      </c>
      <c r="AF51" s="44">
        <v>361610476</v>
      </c>
      <c r="AG51" s="44">
        <v>-69965000</v>
      </c>
      <c r="AH51" s="44" t="s">
        <v>256</v>
      </c>
      <c r="AI51" s="44">
        <v>361610476</v>
      </c>
      <c r="AJ51" s="44">
        <v>232690201</v>
      </c>
      <c r="AK51" s="44">
        <f t="shared" si="0"/>
        <v>0</v>
      </c>
      <c r="AL51" s="44">
        <f t="shared" si="1"/>
        <v>0</v>
      </c>
      <c r="AM51" s="44">
        <f t="shared" si="2"/>
        <v>128920275</v>
      </c>
    </row>
    <row r="52" spans="1:39" hidden="1" x14ac:dyDescent="0.25">
      <c r="A52" t="s">
        <v>442</v>
      </c>
      <c r="B52" t="s">
        <v>451</v>
      </c>
      <c r="C52" t="s">
        <v>443</v>
      </c>
      <c r="D52" t="s">
        <v>444</v>
      </c>
      <c r="E52" t="s">
        <v>831</v>
      </c>
      <c r="F52" t="s">
        <v>26</v>
      </c>
      <c r="G52" t="s">
        <v>446</v>
      </c>
      <c r="H52" t="s">
        <v>453</v>
      </c>
      <c r="I52" t="s">
        <v>447</v>
      </c>
      <c r="J52" t="s">
        <v>448</v>
      </c>
      <c r="K52" t="s">
        <v>832</v>
      </c>
      <c r="L52" t="s">
        <v>363</v>
      </c>
      <c r="M52" t="s">
        <v>833</v>
      </c>
      <c r="N52">
        <v>7986</v>
      </c>
      <c r="O52">
        <v>81</v>
      </c>
      <c r="P52" t="s">
        <v>834</v>
      </c>
      <c r="Q52" s="44">
        <v>0</v>
      </c>
      <c r="R52" s="44">
        <v>0</v>
      </c>
      <c r="S52" s="44">
        <v>0</v>
      </c>
      <c r="T52" s="44">
        <v>396071179</v>
      </c>
      <c r="U52" s="44">
        <v>0</v>
      </c>
      <c r="V52" s="44">
        <v>396071179</v>
      </c>
      <c r="W52" s="44">
        <v>155155349</v>
      </c>
      <c r="X52" s="44">
        <v>155155349</v>
      </c>
      <c r="Y52" s="44">
        <v>240915830</v>
      </c>
      <c r="Z52" s="44">
        <v>155155349</v>
      </c>
      <c r="AA52" s="44">
        <v>0</v>
      </c>
      <c r="AB52" s="44">
        <v>240915830</v>
      </c>
      <c r="AE52" s="44">
        <v>88660199</v>
      </c>
      <c r="AF52" s="44">
        <v>155155349</v>
      </c>
      <c r="AG52" s="44">
        <v>-122094477</v>
      </c>
      <c r="AH52" s="44" t="s">
        <v>256</v>
      </c>
      <c r="AI52" s="44">
        <v>155155349</v>
      </c>
      <c r="AJ52" s="44">
        <v>88660199</v>
      </c>
      <c r="AK52" s="44">
        <f t="shared" si="0"/>
        <v>0</v>
      </c>
      <c r="AL52" s="44">
        <f t="shared" si="1"/>
        <v>0</v>
      </c>
      <c r="AM52" s="44">
        <f t="shared" si="2"/>
        <v>66495150</v>
      </c>
    </row>
    <row r="53" spans="1:39" hidden="1" x14ac:dyDescent="0.25">
      <c r="A53" t="s">
        <v>442</v>
      </c>
      <c r="B53" t="s">
        <v>855</v>
      </c>
      <c r="C53" t="s">
        <v>443</v>
      </c>
      <c r="D53" t="s">
        <v>444</v>
      </c>
      <c r="E53" t="s">
        <v>452</v>
      </c>
      <c r="F53" t="s">
        <v>26</v>
      </c>
      <c r="G53" t="s">
        <v>446</v>
      </c>
      <c r="H53" t="s">
        <v>856</v>
      </c>
      <c r="I53" t="s">
        <v>447</v>
      </c>
      <c r="J53" t="s">
        <v>448</v>
      </c>
      <c r="K53" t="s">
        <v>454</v>
      </c>
      <c r="L53" t="s">
        <v>363</v>
      </c>
      <c r="M53" t="s">
        <v>454</v>
      </c>
      <c r="N53">
        <v>8037</v>
      </c>
      <c r="O53">
        <v>116</v>
      </c>
      <c r="P53" t="s">
        <v>969</v>
      </c>
      <c r="Q53" s="44">
        <v>0</v>
      </c>
      <c r="R53" s="44">
        <v>0</v>
      </c>
      <c r="S53" s="44">
        <v>0</v>
      </c>
      <c r="T53" s="44">
        <v>30000000</v>
      </c>
      <c r="U53" s="44">
        <v>0</v>
      </c>
      <c r="V53" s="44">
        <v>30000000</v>
      </c>
      <c r="W53" s="44">
        <v>30000000</v>
      </c>
      <c r="X53" s="44">
        <v>30000000</v>
      </c>
      <c r="Y53" s="44">
        <v>0</v>
      </c>
      <c r="Z53" s="44">
        <v>30000000</v>
      </c>
      <c r="AA53" s="44">
        <v>0</v>
      </c>
      <c r="AB53" s="44">
        <v>0</v>
      </c>
      <c r="AE53" s="44">
        <v>30000000</v>
      </c>
      <c r="AF53" s="44">
        <v>24000000</v>
      </c>
      <c r="AG53" s="44">
        <v>0</v>
      </c>
      <c r="AH53" s="44">
        <v>0</v>
      </c>
      <c r="AI53" s="44">
        <v>24000000</v>
      </c>
      <c r="AJ53" s="44">
        <v>24000000</v>
      </c>
      <c r="AK53" s="44">
        <f t="shared" si="0"/>
        <v>0</v>
      </c>
      <c r="AL53" s="44">
        <f t="shared" si="1"/>
        <v>0</v>
      </c>
      <c r="AM53" s="44">
        <f t="shared" si="2"/>
        <v>0</v>
      </c>
    </row>
    <row r="54" spans="1:39" hidden="1" x14ac:dyDescent="0.25">
      <c r="A54" t="s">
        <v>442</v>
      </c>
      <c r="B54" t="s">
        <v>855</v>
      </c>
      <c r="C54" t="s">
        <v>443</v>
      </c>
      <c r="D54" t="s">
        <v>444</v>
      </c>
      <c r="E54" t="s">
        <v>456</v>
      </c>
      <c r="F54" t="s">
        <v>26</v>
      </c>
      <c r="G54" t="s">
        <v>446</v>
      </c>
      <c r="H54" t="s">
        <v>856</v>
      </c>
      <c r="I54" t="s">
        <v>447</v>
      </c>
      <c r="J54" t="s">
        <v>448</v>
      </c>
      <c r="K54" t="s">
        <v>457</v>
      </c>
      <c r="L54" t="s">
        <v>363</v>
      </c>
      <c r="M54" t="s">
        <v>457</v>
      </c>
      <c r="N54">
        <v>7995</v>
      </c>
      <c r="O54">
        <v>90</v>
      </c>
      <c r="P54" t="s">
        <v>850</v>
      </c>
      <c r="Q54" s="44">
        <v>0</v>
      </c>
      <c r="R54" s="44">
        <v>63558656</v>
      </c>
      <c r="S54" s="44">
        <v>0</v>
      </c>
      <c r="T54" s="44">
        <v>0</v>
      </c>
      <c r="U54" s="44">
        <v>15000000</v>
      </c>
      <c r="V54" s="44">
        <v>48558656</v>
      </c>
      <c r="W54" s="44">
        <v>35592848</v>
      </c>
      <c r="X54" s="44">
        <v>35592848</v>
      </c>
      <c r="Y54" s="44">
        <v>12965808</v>
      </c>
      <c r="Z54" s="44">
        <v>35592848</v>
      </c>
      <c r="AA54" s="44">
        <v>0</v>
      </c>
      <c r="AB54" s="44">
        <v>12965808</v>
      </c>
      <c r="AE54" s="44">
        <v>35592848</v>
      </c>
      <c r="AF54" s="44">
        <v>0</v>
      </c>
      <c r="AG54" s="44">
        <v>-8898211</v>
      </c>
      <c r="AH54" s="44" t="s">
        <v>256</v>
      </c>
      <c r="AI54" s="44">
        <v>0</v>
      </c>
      <c r="AJ54" s="44">
        <v>0</v>
      </c>
      <c r="AK54" s="44">
        <f t="shared" si="0"/>
        <v>0</v>
      </c>
      <c r="AL54" s="44">
        <f t="shared" si="1"/>
        <v>0</v>
      </c>
      <c r="AM54" s="44">
        <f t="shared" si="2"/>
        <v>0</v>
      </c>
    </row>
    <row r="55" spans="1:39" hidden="1" x14ac:dyDescent="0.25">
      <c r="A55" t="s">
        <v>442</v>
      </c>
      <c r="B55" t="s">
        <v>855</v>
      </c>
      <c r="C55" t="s">
        <v>443</v>
      </c>
      <c r="D55" t="s">
        <v>444</v>
      </c>
      <c r="E55" t="s">
        <v>462</v>
      </c>
      <c r="F55" t="s">
        <v>26</v>
      </c>
      <c r="G55" t="s">
        <v>446</v>
      </c>
      <c r="H55" t="s">
        <v>856</v>
      </c>
      <c r="I55" t="s">
        <v>447</v>
      </c>
      <c r="J55" t="s">
        <v>448</v>
      </c>
      <c r="K55" t="s">
        <v>463</v>
      </c>
      <c r="L55" t="s">
        <v>363</v>
      </c>
      <c r="M55" t="s">
        <v>463</v>
      </c>
      <c r="N55">
        <v>8038</v>
      </c>
      <c r="O55">
        <v>117</v>
      </c>
      <c r="P55" t="s">
        <v>970</v>
      </c>
      <c r="Q55" s="44">
        <v>0</v>
      </c>
      <c r="R55" s="44">
        <v>0</v>
      </c>
      <c r="S55" s="44">
        <v>0</v>
      </c>
      <c r="T55" s="44">
        <v>6225499</v>
      </c>
      <c r="U55" s="44">
        <v>0</v>
      </c>
      <c r="V55" s="44">
        <v>6225499</v>
      </c>
      <c r="W55" s="44">
        <v>4997420</v>
      </c>
      <c r="X55" s="44">
        <v>4997420</v>
      </c>
      <c r="Y55" s="44">
        <v>1228079</v>
      </c>
      <c r="Z55" s="44">
        <v>4997420</v>
      </c>
      <c r="AA55" s="44">
        <v>0</v>
      </c>
      <c r="AB55" s="44">
        <v>1228079</v>
      </c>
      <c r="AE55" s="44">
        <v>4997420</v>
      </c>
      <c r="AF55" s="44">
        <v>4997420</v>
      </c>
      <c r="AG55" s="44">
        <v>-1228079</v>
      </c>
      <c r="AH55" s="44" t="s">
        <v>256</v>
      </c>
      <c r="AI55" s="44">
        <v>4997420</v>
      </c>
      <c r="AJ55" s="44">
        <v>4997420</v>
      </c>
      <c r="AK55" s="44">
        <f t="shared" si="0"/>
        <v>0</v>
      </c>
      <c r="AL55" s="44">
        <f t="shared" si="1"/>
        <v>0</v>
      </c>
      <c r="AM55" s="44">
        <f t="shared" si="2"/>
        <v>0</v>
      </c>
    </row>
    <row r="56" spans="1:39" hidden="1" x14ac:dyDescent="0.25">
      <c r="A56" t="s">
        <v>442</v>
      </c>
      <c r="B56" t="s">
        <v>855</v>
      </c>
      <c r="C56" t="s">
        <v>443</v>
      </c>
      <c r="D56" t="s">
        <v>444</v>
      </c>
      <c r="E56" t="s">
        <v>831</v>
      </c>
      <c r="F56" t="s">
        <v>26</v>
      </c>
      <c r="G56" t="s">
        <v>446</v>
      </c>
      <c r="H56" t="s">
        <v>856</v>
      </c>
      <c r="I56" t="s">
        <v>447</v>
      </c>
      <c r="J56" t="s">
        <v>448</v>
      </c>
      <c r="K56" t="s">
        <v>832</v>
      </c>
      <c r="L56" t="s">
        <v>363</v>
      </c>
      <c r="M56" t="s">
        <v>833</v>
      </c>
      <c r="N56">
        <v>8039</v>
      </c>
      <c r="O56">
        <v>118</v>
      </c>
      <c r="P56" t="s">
        <v>971</v>
      </c>
      <c r="Q56" s="44">
        <v>0</v>
      </c>
      <c r="R56" s="44">
        <v>0</v>
      </c>
      <c r="S56" s="44">
        <v>0</v>
      </c>
      <c r="T56" s="44">
        <v>97000000</v>
      </c>
      <c r="U56" s="44">
        <v>0</v>
      </c>
      <c r="V56" s="44">
        <v>97000000</v>
      </c>
      <c r="W56" s="44">
        <v>0</v>
      </c>
      <c r="X56" s="44">
        <v>0</v>
      </c>
      <c r="Y56" s="44">
        <v>97000000</v>
      </c>
      <c r="Z56" s="44">
        <v>0</v>
      </c>
      <c r="AA56" s="44">
        <v>0</v>
      </c>
      <c r="AB56" s="44">
        <v>97000000</v>
      </c>
      <c r="AE56" s="44">
        <v>0</v>
      </c>
      <c r="AF56" s="44">
        <v>0</v>
      </c>
      <c r="AG56" s="44">
        <v>-81593703</v>
      </c>
      <c r="AH56" s="44">
        <v>0</v>
      </c>
      <c r="AI56" s="44">
        <v>0</v>
      </c>
      <c r="AJ56" s="44">
        <v>0</v>
      </c>
      <c r="AK56" s="44">
        <f t="shared" si="0"/>
        <v>0</v>
      </c>
      <c r="AL56" s="44">
        <f t="shared" si="1"/>
        <v>0</v>
      </c>
      <c r="AM56" s="44">
        <f t="shared" si="2"/>
        <v>0</v>
      </c>
    </row>
    <row r="57" spans="1:39" hidden="1" x14ac:dyDescent="0.25">
      <c r="A57" t="s">
        <v>465</v>
      </c>
      <c r="B57" t="s">
        <v>355</v>
      </c>
      <c r="C57" t="s">
        <v>466</v>
      </c>
      <c r="D57" t="s">
        <v>467</v>
      </c>
      <c r="E57" t="s">
        <v>468</v>
      </c>
      <c r="F57" t="s">
        <v>26</v>
      </c>
      <c r="G57" t="s">
        <v>469</v>
      </c>
      <c r="H57" t="s">
        <v>33</v>
      </c>
      <c r="I57" t="s">
        <v>470</v>
      </c>
      <c r="J57" t="s">
        <v>471</v>
      </c>
      <c r="K57" t="s">
        <v>472</v>
      </c>
      <c r="L57" t="s">
        <v>363</v>
      </c>
      <c r="M57" t="s">
        <v>472</v>
      </c>
      <c r="N57">
        <v>7920</v>
      </c>
      <c r="O57">
        <v>28</v>
      </c>
      <c r="P57" t="s">
        <v>473</v>
      </c>
      <c r="Q57" s="44">
        <v>54000000</v>
      </c>
      <c r="R57" s="44">
        <v>350000000</v>
      </c>
      <c r="S57" s="44">
        <v>0</v>
      </c>
      <c r="T57" s="44">
        <v>0</v>
      </c>
      <c r="U57" s="44">
        <v>0</v>
      </c>
      <c r="V57" s="44">
        <v>404000000</v>
      </c>
      <c r="W57" s="44">
        <v>53618275</v>
      </c>
      <c r="X57" s="44">
        <v>53618275</v>
      </c>
      <c r="Y57" s="44">
        <v>350381725</v>
      </c>
      <c r="Z57" s="44">
        <v>53618275</v>
      </c>
      <c r="AA57" s="44">
        <v>0</v>
      </c>
      <c r="AB57" s="44">
        <v>350381725</v>
      </c>
      <c r="AE57" s="44">
        <v>53618275</v>
      </c>
      <c r="AF57" s="44">
        <v>11452010</v>
      </c>
      <c r="AG57" s="44">
        <v>-381725</v>
      </c>
      <c r="AH57" s="44" t="s">
        <v>256</v>
      </c>
      <c r="AI57" s="44">
        <v>11452010</v>
      </c>
      <c r="AJ57" s="44">
        <v>11452010</v>
      </c>
      <c r="AK57" s="44">
        <f t="shared" si="0"/>
        <v>0</v>
      </c>
      <c r="AL57" s="44">
        <f t="shared" si="1"/>
        <v>0</v>
      </c>
      <c r="AM57" s="44">
        <f t="shared" si="2"/>
        <v>0</v>
      </c>
    </row>
    <row r="58" spans="1:39" hidden="1" x14ac:dyDescent="0.25">
      <c r="A58" t="s">
        <v>465</v>
      </c>
      <c r="B58" t="s">
        <v>355</v>
      </c>
      <c r="C58" t="s">
        <v>466</v>
      </c>
      <c r="D58" t="s">
        <v>467</v>
      </c>
      <c r="E58" t="s">
        <v>474</v>
      </c>
      <c r="F58" t="s">
        <v>26</v>
      </c>
      <c r="G58" t="s">
        <v>469</v>
      </c>
      <c r="H58" t="s">
        <v>33</v>
      </c>
      <c r="I58" t="s">
        <v>470</v>
      </c>
      <c r="J58" t="s">
        <v>471</v>
      </c>
      <c r="K58" t="s">
        <v>475</v>
      </c>
      <c r="L58" t="s">
        <v>363</v>
      </c>
      <c r="M58" t="s">
        <v>475</v>
      </c>
      <c r="N58">
        <v>7921</v>
      </c>
      <c r="O58">
        <v>29</v>
      </c>
      <c r="P58" t="s">
        <v>476</v>
      </c>
      <c r="Q58" s="44">
        <v>54000000</v>
      </c>
      <c r="R58" s="44">
        <v>0</v>
      </c>
      <c r="S58" s="44">
        <v>0</v>
      </c>
      <c r="T58" s="44">
        <v>0</v>
      </c>
      <c r="U58" s="44">
        <v>0</v>
      </c>
      <c r="V58" s="44">
        <v>54000000</v>
      </c>
      <c r="W58" s="44">
        <v>54000000</v>
      </c>
      <c r="X58" s="44">
        <v>54000000</v>
      </c>
      <c r="Y58" s="44">
        <v>0</v>
      </c>
      <c r="Z58" s="44">
        <v>54000000</v>
      </c>
      <c r="AA58" s="44">
        <v>0</v>
      </c>
      <c r="AB58" s="44">
        <v>0</v>
      </c>
      <c r="AE58" s="44">
        <v>54000000</v>
      </c>
      <c r="AF58" s="44">
        <v>11230532</v>
      </c>
      <c r="AG58" s="44">
        <v>0</v>
      </c>
      <c r="AH58" s="44">
        <v>0</v>
      </c>
      <c r="AI58" s="44">
        <v>11230532</v>
      </c>
      <c r="AJ58" s="44">
        <v>11230532</v>
      </c>
      <c r="AK58" s="44">
        <f t="shared" si="0"/>
        <v>0</v>
      </c>
      <c r="AL58" s="44">
        <f t="shared" si="1"/>
        <v>0</v>
      </c>
      <c r="AM58" s="44">
        <f t="shared" si="2"/>
        <v>0</v>
      </c>
    </row>
    <row r="59" spans="1:39" hidden="1" x14ac:dyDescent="0.25">
      <c r="A59" t="s">
        <v>465</v>
      </c>
      <c r="B59" t="s">
        <v>355</v>
      </c>
      <c r="C59" t="s">
        <v>466</v>
      </c>
      <c r="D59" t="s">
        <v>477</v>
      </c>
      <c r="E59" t="s">
        <v>478</v>
      </c>
      <c r="F59" t="s">
        <v>26</v>
      </c>
      <c r="G59" t="s">
        <v>469</v>
      </c>
      <c r="H59" t="s">
        <v>33</v>
      </c>
      <c r="I59" t="s">
        <v>470</v>
      </c>
      <c r="J59" t="s">
        <v>479</v>
      </c>
      <c r="K59" t="s">
        <v>480</v>
      </c>
      <c r="L59" t="s">
        <v>363</v>
      </c>
      <c r="M59" t="s">
        <v>480</v>
      </c>
      <c r="N59">
        <v>7922</v>
      </c>
      <c r="O59">
        <v>30</v>
      </c>
      <c r="P59" t="s">
        <v>481</v>
      </c>
      <c r="Q59" s="44">
        <v>200000000</v>
      </c>
      <c r="R59" s="44">
        <v>321603098</v>
      </c>
      <c r="S59" s="44">
        <v>0</v>
      </c>
      <c r="T59" s="44">
        <v>0</v>
      </c>
      <c r="U59" s="44">
        <v>0</v>
      </c>
      <c r="V59" s="44">
        <v>521603098</v>
      </c>
      <c r="W59" s="44">
        <v>518511745</v>
      </c>
      <c r="X59" s="44">
        <v>518511745</v>
      </c>
      <c r="Y59" s="44">
        <v>3091353</v>
      </c>
      <c r="Z59" s="44">
        <v>518511745</v>
      </c>
      <c r="AA59" s="44">
        <v>0</v>
      </c>
      <c r="AB59" s="44">
        <v>3091353</v>
      </c>
      <c r="AE59" s="44">
        <v>450423890</v>
      </c>
      <c r="AF59" s="44">
        <v>409859460</v>
      </c>
      <c r="AG59" s="44">
        <v>-3066126</v>
      </c>
      <c r="AH59" s="44" t="s">
        <v>256</v>
      </c>
      <c r="AI59" s="44">
        <v>409859460</v>
      </c>
      <c r="AJ59" s="44">
        <v>341771605</v>
      </c>
      <c r="AK59" s="44">
        <f t="shared" si="0"/>
        <v>0</v>
      </c>
      <c r="AL59" s="44">
        <f t="shared" si="1"/>
        <v>0</v>
      </c>
      <c r="AM59" s="44">
        <f t="shared" si="2"/>
        <v>68087855</v>
      </c>
    </row>
    <row r="60" spans="1:39" hidden="1" x14ac:dyDescent="0.25">
      <c r="A60" t="s">
        <v>465</v>
      </c>
      <c r="B60" t="s">
        <v>355</v>
      </c>
      <c r="C60" t="s">
        <v>482</v>
      </c>
      <c r="D60" t="s">
        <v>483</v>
      </c>
      <c r="E60" t="s">
        <v>484</v>
      </c>
      <c r="F60" t="s">
        <v>26</v>
      </c>
      <c r="G60" t="s">
        <v>469</v>
      </c>
      <c r="H60" t="s">
        <v>33</v>
      </c>
      <c r="I60" t="s">
        <v>485</v>
      </c>
      <c r="J60" t="s">
        <v>486</v>
      </c>
      <c r="K60" t="s">
        <v>487</v>
      </c>
      <c r="L60" t="s">
        <v>363</v>
      </c>
      <c r="M60" t="s">
        <v>487</v>
      </c>
      <c r="N60">
        <v>7923</v>
      </c>
      <c r="O60">
        <v>31</v>
      </c>
      <c r="P60" t="s">
        <v>488</v>
      </c>
      <c r="Q60" s="44">
        <v>80000000</v>
      </c>
      <c r="R60" s="44">
        <v>160000000</v>
      </c>
      <c r="S60" s="44">
        <v>0</v>
      </c>
      <c r="T60" s="44">
        <v>5000000</v>
      </c>
      <c r="U60" s="44">
        <v>80000000</v>
      </c>
      <c r="V60" s="44">
        <v>165000000</v>
      </c>
      <c r="W60" s="44">
        <v>156300000</v>
      </c>
      <c r="X60" s="44">
        <v>156300000</v>
      </c>
      <c r="Y60" s="44">
        <v>8700000</v>
      </c>
      <c r="Z60" s="44">
        <v>156300000</v>
      </c>
      <c r="AA60" s="44">
        <v>0</v>
      </c>
      <c r="AB60" s="44">
        <v>8700000</v>
      </c>
      <c r="AE60" s="44">
        <v>3100000</v>
      </c>
      <c r="AF60" s="44">
        <v>156300000</v>
      </c>
      <c r="AG60" s="44">
        <v>-8565554</v>
      </c>
      <c r="AH60" s="44" t="s">
        <v>256</v>
      </c>
      <c r="AI60" s="44">
        <v>156300000</v>
      </c>
      <c r="AJ60" s="44">
        <v>3100000</v>
      </c>
      <c r="AK60" s="44">
        <f t="shared" si="0"/>
        <v>0</v>
      </c>
      <c r="AL60" s="44">
        <f t="shared" si="1"/>
        <v>0</v>
      </c>
      <c r="AM60" s="44">
        <f t="shared" si="2"/>
        <v>153200000</v>
      </c>
    </row>
    <row r="61" spans="1:39" hidden="1" x14ac:dyDescent="0.25">
      <c r="A61" t="s">
        <v>465</v>
      </c>
      <c r="B61" t="s">
        <v>355</v>
      </c>
      <c r="C61" t="s">
        <v>482</v>
      </c>
      <c r="D61" t="s">
        <v>483</v>
      </c>
      <c r="E61" t="s">
        <v>489</v>
      </c>
      <c r="F61" t="s">
        <v>26</v>
      </c>
      <c r="G61" t="s">
        <v>469</v>
      </c>
      <c r="H61" t="s">
        <v>33</v>
      </c>
      <c r="I61" t="s">
        <v>485</v>
      </c>
      <c r="J61" t="s">
        <v>486</v>
      </c>
      <c r="K61" t="s">
        <v>490</v>
      </c>
      <c r="L61" t="s">
        <v>363</v>
      </c>
      <c r="M61" t="s">
        <v>490</v>
      </c>
      <c r="N61">
        <v>7924</v>
      </c>
      <c r="O61">
        <v>32</v>
      </c>
      <c r="P61" t="s">
        <v>491</v>
      </c>
      <c r="Q61" s="44">
        <v>120000000</v>
      </c>
      <c r="R61" s="44">
        <v>0</v>
      </c>
      <c r="S61" s="44">
        <v>0</v>
      </c>
      <c r="T61" s="44">
        <v>80000000</v>
      </c>
      <c r="U61" s="44">
        <v>120000000</v>
      </c>
      <c r="V61" s="44">
        <v>80000000</v>
      </c>
      <c r="W61" s="44">
        <v>75691792</v>
      </c>
      <c r="X61" s="44">
        <v>75691792</v>
      </c>
      <c r="Y61" s="44">
        <v>4308208</v>
      </c>
      <c r="Z61" s="44">
        <v>75691792</v>
      </c>
      <c r="AA61" s="44">
        <v>0</v>
      </c>
      <c r="AB61" s="44">
        <v>4308208</v>
      </c>
      <c r="AE61" s="44">
        <v>75691792</v>
      </c>
      <c r="AF61" s="44">
        <v>0</v>
      </c>
      <c r="AG61" s="44">
        <v>0</v>
      </c>
      <c r="AH61" s="44">
        <v>0</v>
      </c>
      <c r="AI61" s="44">
        <v>0</v>
      </c>
      <c r="AJ61" s="44">
        <v>0</v>
      </c>
      <c r="AK61" s="44">
        <f t="shared" si="0"/>
        <v>0</v>
      </c>
      <c r="AL61" s="44">
        <f t="shared" si="1"/>
        <v>0</v>
      </c>
      <c r="AM61" s="44">
        <f t="shared" si="2"/>
        <v>0</v>
      </c>
    </row>
    <row r="62" spans="1:39" hidden="1" x14ac:dyDescent="0.25">
      <c r="A62" t="s">
        <v>465</v>
      </c>
      <c r="B62" t="s">
        <v>355</v>
      </c>
      <c r="C62" t="s">
        <v>482</v>
      </c>
      <c r="D62" t="s">
        <v>483</v>
      </c>
      <c r="E62" t="s">
        <v>863</v>
      </c>
      <c r="F62" t="s">
        <v>26</v>
      </c>
      <c r="G62" t="s">
        <v>469</v>
      </c>
      <c r="H62" t="s">
        <v>33</v>
      </c>
      <c r="I62" t="s">
        <v>485</v>
      </c>
      <c r="J62" t="s">
        <v>486</v>
      </c>
      <c r="K62" t="s">
        <v>864</v>
      </c>
      <c r="L62" t="s">
        <v>363</v>
      </c>
      <c r="M62" t="s">
        <v>864</v>
      </c>
      <c r="N62">
        <v>8012</v>
      </c>
      <c r="O62">
        <v>97</v>
      </c>
      <c r="P62" t="s">
        <v>865</v>
      </c>
      <c r="Q62" s="44">
        <v>0</v>
      </c>
      <c r="R62" s="44">
        <v>0</v>
      </c>
      <c r="S62" s="44">
        <v>0</v>
      </c>
      <c r="T62" s="44">
        <v>40341314</v>
      </c>
      <c r="U62" s="44">
        <v>0</v>
      </c>
      <c r="V62" s="44">
        <v>40341314</v>
      </c>
      <c r="W62" s="44">
        <v>23325217</v>
      </c>
      <c r="X62" s="44">
        <v>23325217</v>
      </c>
      <c r="Y62" s="44">
        <v>17016097</v>
      </c>
      <c r="Z62" s="44">
        <v>23325217</v>
      </c>
      <c r="AA62" s="44">
        <v>0</v>
      </c>
      <c r="AB62" s="44">
        <v>17016097</v>
      </c>
      <c r="AE62" s="44">
        <v>0</v>
      </c>
      <c r="AF62" s="44">
        <v>23325217</v>
      </c>
      <c r="AG62" s="44">
        <v>-10342647</v>
      </c>
      <c r="AH62" s="44" t="s">
        <v>256</v>
      </c>
      <c r="AI62" s="44">
        <v>23325217</v>
      </c>
      <c r="AJ62" s="44">
        <v>0</v>
      </c>
      <c r="AK62" s="44">
        <f t="shared" si="0"/>
        <v>0</v>
      </c>
      <c r="AL62" s="44">
        <f t="shared" si="1"/>
        <v>0</v>
      </c>
      <c r="AM62" s="44">
        <f t="shared" si="2"/>
        <v>23325217</v>
      </c>
    </row>
    <row r="63" spans="1:39" hidden="1" x14ac:dyDescent="0.25">
      <c r="A63" t="s">
        <v>465</v>
      </c>
      <c r="B63" t="s">
        <v>355</v>
      </c>
      <c r="C63" t="s">
        <v>482</v>
      </c>
      <c r="D63" t="s">
        <v>483</v>
      </c>
      <c r="E63" t="s">
        <v>866</v>
      </c>
      <c r="F63" t="s">
        <v>26</v>
      </c>
      <c r="G63" t="s">
        <v>469</v>
      </c>
      <c r="H63" t="s">
        <v>33</v>
      </c>
      <c r="I63" t="s">
        <v>485</v>
      </c>
      <c r="J63" t="s">
        <v>486</v>
      </c>
      <c r="K63" t="s">
        <v>867</v>
      </c>
      <c r="L63" t="s">
        <v>363</v>
      </c>
      <c r="M63" t="s">
        <v>868</v>
      </c>
      <c r="N63">
        <v>8013</v>
      </c>
      <c r="O63">
        <v>98</v>
      </c>
      <c r="P63" t="s">
        <v>869</v>
      </c>
      <c r="Q63" s="44">
        <v>0</v>
      </c>
      <c r="R63" s="44">
        <v>0</v>
      </c>
      <c r="S63" s="44">
        <v>0</v>
      </c>
      <c r="T63" s="44">
        <v>44072667</v>
      </c>
      <c r="U63" s="44">
        <v>0</v>
      </c>
      <c r="V63" s="44">
        <v>44072667</v>
      </c>
      <c r="W63" s="44">
        <v>18054000</v>
      </c>
      <c r="X63" s="44">
        <v>18054000</v>
      </c>
      <c r="Y63" s="44">
        <v>26018667</v>
      </c>
      <c r="Z63" s="44">
        <v>18054000</v>
      </c>
      <c r="AA63" s="44">
        <v>0</v>
      </c>
      <c r="AB63" s="44">
        <v>26018667</v>
      </c>
      <c r="AE63" s="44">
        <v>4374000</v>
      </c>
      <c r="AF63" s="44">
        <v>18054000</v>
      </c>
      <c r="AG63" s="44">
        <v>-23487352</v>
      </c>
      <c r="AH63" s="44" t="s">
        <v>256</v>
      </c>
      <c r="AI63" s="44">
        <v>18054000</v>
      </c>
      <c r="AJ63" s="44">
        <v>4374000</v>
      </c>
      <c r="AK63" s="44">
        <f t="shared" si="0"/>
        <v>0</v>
      </c>
      <c r="AL63" s="44">
        <f t="shared" si="1"/>
        <v>0</v>
      </c>
      <c r="AM63" s="44">
        <f t="shared" si="2"/>
        <v>13680000</v>
      </c>
    </row>
    <row r="64" spans="1:39" hidden="1" x14ac:dyDescent="0.25">
      <c r="A64" t="s">
        <v>465</v>
      </c>
      <c r="B64" t="s">
        <v>355</v>
      </c>
      <c r="C64" t="s">
        <v>482</v>
      </c>
      <c r="D64" t="s">
        <v>483</v>
      </c>
      <c r="E64" t="s">
        <v>870</v>
      </c>
      <c r="F64" t="s">
        <v>26</v>
      </c>
      <c r="G64" t="s">
        <v>469</v>
      </c>
      <c r="H64" t="s">
        <v>33</v>
      </c>
      <c r="I64" t="s">
        <v>485</v>
      </c>
      <c r="J64" t="s">
        <v>486</v>
      </c>
      <c r="K64" t="s">
        <v>871</v>
      </c>
      <c r="L64" t="s">
        <v>363</v>
      </c>
      <c r="M64" t="s">
        <v>872</v>
      </c>
      <c r="N64">
        <v>8014</v>
      </c>
      <c r="O64">
        <v>99</v>
      </c>
      <c r="P64" t="s">
        <v>873</v>
      </c>
      <c r="Q64" s="44">
        <v>0</v>
      </c>
      <c r="R64" s="44">
        <v>0</v>
      </c>
      <c r="S64" s="44">
        <v>0</v>
      </c>
      <c r="T64" s="44">
        <v>30699999</v>
      </c>
      <c r="U64" s="44">
        <v>6673450</v>
      </c>
      <c r="V64" s="44">
        <v>24026549</v>
      </c>
      <c r="W64" s="44">
        <v>14154389</v>
      </c>
      <c r="X64" s="44">
        <v>14154389</v>
      </c>
      <c r="Y64" s="44">
        <v>9872160</v>
      </c>
      <c r="Z64" s="44">
        <v>14154389</v>
      </c>
      <c r="AA64" s="44">
        <v>0</v>
      </c>
      <c r="AB64" s="44">
        <v>9872160</v>
      </c>
      <c r="AE64" s="44">
        <v>14154389</v>
      </c>
      <c r="AF64" s="44">
        <v>14154389</v>
      </c>
      <c r="AG64" s="44">
        <v>-704221</v>
      </c>
      <c r="AH64" s="44" t="s">
        <v>256</v>
      </c>
      <c r="AI64" s="44">
        <v>14154389</v>
      </c>
      <c r="AJ64" s="44">
        <v>14154389</v>
      </c>
      <c r="AK64" s="44">
        <f t="shared" si="0"/>
        <v>0</v>
      </c>
      <c r="AL64" s="44">
        <f t="shared" si="1"/>
        <v>0</v>
      </c>
      <c r="AM64" s="44">
        <f t="shared" si="2"/>
        <v>0</v>
      </c>
    </row>
    <row r="65" spans="1:39" hidden="1" x14ac:dyDescent="0.25">
      <c r="A65" t="s">
        <v>465</v>
      </c>
      <c r="B65" t="s">
        <v>355</v>
      </c>
      <c r="C65" t="s">
        <v>482</v>
      </c>
      <c r="D65" t="s">
        <v>483</v>
      </c>
      <c r="E65" t="s">
        <v>874</v>
      </c>
      <c r="F65" t="s">
        <v>26</v>
      </c>
      <c r="G65" t="s">
        <v>469</v>
      </c>
      <c r="H65" t="s">
        <v>33</v>
      </c>
      <c r="I65" t="s">
        <v>485</v>
      </c>
      <c r="J65" t="s">
        <v>486</v>
      </c>
      <c r="K65" t="s">
        <v>875</v>
      </c>
      <c r="L65" t="s">
        <v>363</v>
      </c>
      <c r="M65" t="s">
        <v>875</v>
      </c>
      <c r="N65">
        <v>8015</v>
      </c>
      <c r="O65">
        <v>100</v>
      </c>
      <c r="P65" t="s">
        <v>876</v>
      </c>
      <c r="Q65" s="44">
        <v>0</v>
      </c>
      <c r="R65" s="44">
        <v>0</v>
      </c>
      <c r="S65" s="44">
        <v>0</v>
      </c>
      <c r="T65" s="44">
        <v>6559470</v>
      </c>
      <c r="U65" s="44">
        <v>0</v>
      </c>
      <c r="V65" s="44">
        <v>6559470</v>
      </c>
      <c r="W65" s="44">
        <v>2079999</v>
      </c>
      <c r="X65" s="44">
        <v>2079999</v>
      </c>
      <c r="Y65" s="44">
        <v>4479471</v>
      </c>
      <c r="Z65" s="44">
        <v>2079999</v>
      </c>
      <c r="AA65" s="44">
        <v>0</v>
      </c>
      <c r="AB65" s="44">
        <v>4479471</v>
      </c>
      <c r="AE65" s="44">
        <v>0</v>
      </c>
      <c r="AF65" s="44">
        <v>2079999</v>
      </c>
      <c r="AG65" s="44">
        <v>-4479471</v>
      </c>
      <c r="AH65" s="44" t="s">
        <v>256</v>
      </c>
      <c r="AI65" s="44">
        <v>2079999</v>
      </c>
      <c r="AJ65" s="44">
        <v>0</v>
      </c>
      <c r="AK65" s="44">
        <f t="shared" si="0"/>
        <v>0</v>
      </c>
      <c r="AL65" s="44">
        <f t="shared" si="1"/>
        <v>0</v>
      </c>
      <c r="AM65" s="44">
        <f t="shared" si="2"/>
        <v>2079999</v>
      </c>
    </row>
    <row r="66" spans="1:39" hidden="1" x14ac:dyDescent="0.25">
      <c r="A66" t="s">
        <v>465</v>
      </c>
      <c r="B66" t="s">
        <v>492</v>
      </c>
      <c r="C66" t="s">
        <v>466</v>
      </c>
      <c r="D66" t="s">
        <v>477</v>
      </c>
      <c r="E66" t="s">
        <v>478</v>
      </c>
      <c r="F66" t="s">
        <v>26</v>
      </c>
      <c r="G66" t="s">
        <v>469</v>
      </c>
      <c r="H66" t="s">
        <v>493</v>
      </c>
      <c r="I66" t="s">
        <v>470</v>
      </c>
      <c r="J66" t="s">
        <v>479</v>
      </c>
      <c r="K66" t="s">
        <v>480</v>
      </c>
      <c r="L66" t="s">
        <v>363</v>
      </c>
      <c r="M66" t="s">
        <v>480</v>
      </c>
      <c r="N66">
        <v>7925</v>
      </c>
      <c r="O66">
        <v>33</v>
      </c>
      <c r="P66" t="s">
        <v>494</v>
      </c>
      <c r="Q66" s="44">
        <v>7240984</v>
      </c>
      <c r="R66" s="44">
        <v>0</v>
      </c>
      <c r="S66" s="44">
        <v>0</v>
      </c>
      <c r="T66" s="44">
        <v>0</v>
      </c>
      <c r="U66" s="44">
        <v>0</v>
      </c>
      <c r="V66" s="44">
        <v>7240984</v>
      </c>
      <c r="W66" s="44">
        <v>1741345</v>
      </c>
      <c r="X66" s="44">
        <v>1741345</v>
      </c>
      <c r="Y66" s="44">
        <v>5499639</v>
      </c>
      <c r="Z66" s="44">
        <v>1741345</v>
      </c>
      <c r="AA66" s="44">
        <v>0</v>
      </c>
      <c r="AB66" s="44">
        <v>5499639</v>
      </c>
      <c r="AE66" s="44">
        <v>0</v>
      </c>
      <c r="AF66" s="44">
        <v>1741345</v>
      </c>
      <c r="AG66" s="44">
        <v>-4876</v>
      </c>
      <c r="AH66" s="44">
        <v>0</v>
      </c>
      <c r="AI66" s="44">
        <v>1741345</v>
      </c>
      <c r="AJ66" s="44">
        <v>0</v>
      </c>
      <c r="AK66" s="44">
        <f t="shared" si="0"/>
        <v>0</v>
      </c>
      <c r="AL66" s="44">
        <f t="shared" si="1"/>
        <v>0</v>
      </c>
      <c r="AM66" s="44">
        <f t="shared" si="2"/>
        <v>1741345</v>
      </c>
    </row>
    <row r="67" spans="1:39" hidden="1" x14ac:dyDescent="0.25">
      <c r="A67" t="s">
        <v>465</v>
      </c>
      <c r="B67" t="s">
        <v>855</v>
      </c>
      <c r="C67" t="s">
        <v>466</v>
      </c>
      <c r="D67" t="s">
        <v>467</v>
      </c>
      <c r="E67" t="s">
        <v>468</v>
      </c>
      <c r="F67" t="s">
        <v>26</v>
      </c>
      <c r="G67" t="s">
        <v>469</v>
      </c>
      <c r="H67" t="s">
        <v>856</v>
      </c>
      <c r="I67" t="s">
        <v>470</v>
      </c>
      <c r="J67" t="s">
        <v>471</v>
      </c>
      <c r="K67" t="s">
        <v>472</v>
      </c>
      <c r="L67" t="s">
        <v>363</v>
      </c>
      <c r="M67" t="s">
        <v>472</v>
      </c>
      <c r="N67">
        <v>7996</v>
      </c>
      <c r="O67">
        <v>91</v>
      </c>
      <c r="P67" t="s">
        <v>851</v>
      </c>
      <c r="Q67" s="44">
        <v>0</v>
      </c>
      <c r="R67" s="44">
        <v>1124473653</v>
      </c>
      <c r="S67" s="44">
        <v>0</v>
      </c>
      <c r="T67" s="44">
        <v>0</v>
      </c>
      <c r="U67" s="44">
        <v>656959771</v>
      </c>
      <c r="V67" s="44">
        <v>467513882</v>
      </c>
      <c r="W67" s="44">
        <v>284358575</v>
      </c>
      <c r="X67" s="44">
        <v>284358575</v>
      </c>
      <c r="Y67" s="44">
        <v>183155307</v>
      </c>
      <c r="Z67" s="44">
        <v>284358575</v>
      </c>
      <c r="AA67" s="44">
        <v>0</v>
      </c>
      <c r="AB67" s="44">
        <v>183155307</v>
      </c>
      <c r="AE67" s="44">
        <v>81192847</v>
      </c>
      <c r="AF67" s="44">
        <v>248765728</v>
      </c>
      <c r="AG67" s="44">
        <v>-53898212</v>
      </c>
      <c r="AH67" s="44" t="s">
        <v>256</v>
      </c>
      <c r="AI67" s="44">
        <v>248765728</v>
      </c>
      <c r="AJ67" s="44">
        <v>45600000</v>
      </c>
      <c r="AK67" s="44">
        <f t="shared" ref="AK67:AK122" si="3">X67-Z67</f>
        <v>0</v>
      </c>
      <c r="AL67" s="44">
        <f t="shared" ref="AL67:AL122" si="4">Z67-W67</f>
        <v>0</v>
      </c>
      <c r="AM67" s="44">
        <f t="shared" ref="AM67:AM122" si="5">W67-AE67</f>
        <v>203165728</v>
      </c>
    </row>
    <row r="68" spans="1:39" hidden="1" x14ac:dyDescent="0.25">
      <c r="A68" t="s">
        <v>465</v>
      </c>
      <c r="B68" t="s">
        <v>855</v>
      </c>
      <c r="C68" t="s">
        <v>466</v>
      </c>
      <c r="D68" t="s">
        <v>467</v>
      </c>
      <c r="E68" t="s">
        <v>474</v>
      </c>
      <c r="F68" t="s">
        <v>26</v>
      </c>
      <c r="G68" t="s">
        <v>469</v>
      </c>
      <c r="H68" t="s">
        <v>856</v>
      </c>
      <c r="I68" t="s">
        <v>470</v>
      </c>
      <c r="J68" t="s">
        <v>471</v>
      </c>
      <c r="K68" t="s">
        <v>475</v>
      </c>
      <c r="L68" t="s">
        <v>363</v>
      </c>
      <c r="M68" t="s">
        <v>475</v>
      </c>
      <c r="N68">
        <v>8029</v>
      </c>
      <c r="O68">
        <v>108</v>
      </c>
      <c r="P68" t="s">
        <v>931</v>
      </c>
      <c r="Q68" s="44">
        <v>0</v>
      </c>
      <c r="R68" s="44">
        <v>0</v>
      </c>
      <c r="S68" s="44">
        <v>0</v>
      </c>
      <c r="T68" s="44">
        <v>441234272</v>
      </c>
      <c r="U68" s="44">
        <v>0</v>
      </c>
      <c r="V68" s="44">
        <v>441234272</v>
      </c>
      <c r="W68" s="44">
        <v>240883147</v>
      </c>
      <c r="X68" s="44">
        <v>240883147</v>
      </c>
      <c r="Y68" s="44">
        <v>200351125</v>
      </c>
      <c r="Z68" s="44">
        <v>240883147</v>
      </c>
      <c r="AA68" s="44">
        <v>0</v>
      </c>
      <c r="AB68" s="44">
        <v>200351125</v>
      </c>
      <c r="AE68" s="44">
        <v>43648875</v>
      </c>
      <c r="AF68" s="44">
        <v>224883147</v>
      </c>
      <c r="AG68" s="44">
        <v>-30000000</v>
      </c>
      <c r="AH68" s="44" t="s">
        <v>256</v>
      </c>
      <c r="AI68" s="44">
        <v>224883147</v>
      </c>
      <c r="AJ68" s="44">
        <v>27648875</v>
      </c>
      <c r="AK68" s="44">
        <f t="shared" si="3"/>
        <v>0</v>
      </c>
      <c r="AL68" s="44">
        <f t="shared" si="4"/>
        <v>0</v>
      </c>
      <c r="AM68" s="44">
        <f t="shared" si="5"/>
        <v>197234272</v>
      </c>
    </row>
    <row r="69" spans="1:39" hidden="1" x14ac:dyDescent="0.25">
      <c r="A69" t="s">
        <v>465</v>
      </c>
      <c r="B69" t="s">
        <v>855</v>
      </c>
      <c r="C69" t="s">
        <v>466</v>
      </c>
      <c r="D69" t="s">
        <v>477</v>
      </c>
      <c r="E69" t="s">
        <v>478</v>
      </c>
      <c r="F69" t="s">
        <v>26</v>
      </c>
      <c r="G69" t="s">
        <v>469</v>
      </c>
      <c r="H69" t="s">
        <v>856</v>
      </c>
      <c r="I69" t="s">
        <v>470</v>
      </c>
      <c r="J69" t="s">
        <v>479</v>
      </c>
      <c r="K69" t="s">
        <v>480</v>
      </c>
      <c r="L69" t="s">
        <v>363</v>
      </c>
      <c r="M69" t="s">
        <v>480</v>
      </c>
      <c r="N69">
        <v>7997</v>
      </c>
      <c r="O69">
        <v>92</v>
      </c>
      <c r="P69" t="s">
        <v>852</v>
      </c>
      <c r="Q69" s="44">
        <v>0</v>
      </c>
      <c r="R69" s="44">
        <v>254234622</v>
      </c>
      <c r="S69" s="44">
        <v>0</v>
      </c>
      <c r="T69" s="44">
        <v>0</v>
      </c>
      <c r="U69" s="44">
        <v>129411733</v>
      </c>
      <c r="V69" s="44">
        <v>124822889</v>
      </c>
      <c r="W69" s="44">
        <v>99858310</v>
      </c>
      <c r="X69" s="44">
        <v>99858310</v>
      </c>
      <c r="Y69" s="44">
        <v>24964579</v>
      </c>
      <c r="Z69" s="44">
        <v>99858310</v>
      </c>
      <c r="AA69" s="44">
        <v>0</v>
      </c>
      <c r="AB69" s="44">
        <v>24964579</v>
      </c>
      <c r="AE69" s="44">
        <v>99858310</v>
      </c>
      <c r="AF69" s="44">
        <v>0</v>
      </c>
      <c r="AG69" s="44">
        <v>-24964579</v>
      </c>
      <c r="AH69" s="44" t="s">
        <v>256</v>
      </c>
      <c r="AI69" s="44">
        <v>0</v>
      </c>
      <c r="AJ69" s="44">
        <v>0</v>
      </c>
      <c r="AK69" s="44">
        <f t="shared" si="3"/>
        <v>0</v>
      </c>
      <c r="AL69" s="44">
        <f t="shared" si="4"/>
        <v>0</v>
      </c>
      <c r="AM69" s="44">
        <f t="shared" si="5"/>
        <v>0</v>
      </c>
    </row>
    <row r="70" spans="1:39" hidden="1" x14ac:dyDescent="0.25">
      <c r="A70" t="s">
        <v>465</v>
      </c>
      <c r="B70" t="s">
        <v>855</v>
      </c>
      <c r="C70" t="s">
        <v>482</v>
      </c>
      <c r="D70" t="s">
        <v>483</v>
      </c>
      <c r="E70" t="s">
        <v>484</v>
      </c>
      <c r="F70" t="s">
        <v>26</v>
      </c>
      <c r="G70" t="s">
        <v>469</v>
      </c>
      <c r="H70" t="s">
        <v>856</v>
      </c>
      <c r="I70" t="s">
        <v>485</v>
      </c>
      <c r="J70" t="s">
        <v>486</v>
      </c>
      <c r="K70" t="s">
        <v>487</v>
      </c>
      <c r="L70" t="s">
        <v>363</v>
      </c>
      <c r="M70" t="s">
        <v>487</v>
      </c>
      <c r="N70">
        <v>8030</v>
      </c>
      <c r="O70">
        <v>109</v>
      </c>
      <c r="P70" t="s">
        <v>932</v>
      </c>
      <c r="Q70" s="44">
        <v>0</v>
      </c>
      <c r="R70" s="44">
        <v>0</v>
      </c>
      <c r="S70" s="44">
        <v>0</v>
      </c>
      <c r="T70" s="44">
        <v>17585210</v>
      </c>
      <c r="U70" s="44">
        <v>0</v>
      </c>
      <c r="V70" s="44">
        <v>17585210</v>
      </c>
      <c r="W70" s="44">
        <v>8500000</v>
      </c>
      <c r="X70" s="44">
        <v>8500000</v>
      </c>
      <c r="Y70" s="44">
        <v>9085210</v>
      </c>
      <c r="Z70" s="44">
        <v>8500000</v>
      </c>
      <c r="AA70" s="44">
        <v>0</v>
      </c>
      <c r="AB70" s="44">
        <v>9085210</v>
      </c>
      <c r="AE70" s="44">
        <v>2500000</v>
      </c>
      <c r="AF70" s="44">
        <v>8500000</v>
      </c>
      <c r="AG70" s="44">
        <v>-9085210</v>
      </c>
      <c r="AH70" s="44" t="s">
        <v>256</v>
      </c>
      <c r="AI70" s="44">
        <v>8500000</v>
      </c>
      <c r="AJ70" s="44">
        <v>2500000</v>
      </c>
      <c r="AK70" s="44">
        <f t="shared" si="3"/>
        <v>0</v>
      </c>
      <c r="AL70" s="44">
        <f t="shared" si="4"/>
        <v>0</v>
      </c>
      <c r="AM70" s="44">
        <f t="shared" si="5"/>
        <v>6000000</v>
      </c>
    </row>
    <row r="71" spans="1:39" hidden="1" x14ac:dyDescent="0.25">
      <c r="A71" t="s">
        <v>465</v>
      </c>
      <c r="B71" t="s">
        <v>855</v>
      </c>
      <c r="C71" t="s">
        <v>482</v>
      </c>
      <c r="D71" t="s">
        <v>483</v>
      </c>
      <c r="E71" t="s">
        <v>489</v>
      </c>
      <c r="F71" t="s">
        <v>26</v>
      </c>
      <c r="G71" t="s">
        <v>469</v>
      </c>
      <c r="H71" t="s">
        <v>856</v>
      </c>
      <c r="I71" t="s">
        <v>485</v>
      </c>
      <c r="J71" t="s">
        <v>486</v>
      </c>
      <c r="K71" t="s">
        <v>490</v>
      </c>
      <c r="L71" t="s">
        <v>363</v>
      </c>
      <c r="M71" t="s">
        <v>490</v>
      </c>
      <c r="N71">
        <v>7998</v>
      </c>
      <c r="O71">
        <v>93</v>
      </c>
      <c r="P71" t="s">
        <v>853</v>
      </c>
      <c r="Q71" s="44">
        <v>0</v>
      </c>
      <c r="R71" s="44">
        <v>140552950</v>
      </c>
      <c r="S71" s="44">
        <v>0</v>
      </c>
      <c r="T71" s="44">
        <v>129411733</v>
      </c>
      <c r="U71" s="44">
        <v>62077993</v>
      </c>
      <c r="V71" s="44">
        <v>207886690</v>
      </c>
      <c r="W71" s="44">
        <v>197886690</v>
      </c>
      <c r="X71" s="44">
        <v>197886690</v>
      </c>
      <c r="Y71" s="44">
        <v>10000000</v>
      </c>
      <c r="Z71" s="44">
        <v>197886690</v>
      </c>
      <c r="AA71" s="44">
        <v>0</v>
      </c>
      <c r="AB71" s="44">
        <v>10000000</v>
      </c>
      <c r="AE71" s="44">
        <v>197886690</v>
      </c>
      <c r="AF71" s="44">
        <v>14903230</v>
      </c>
      <c r="AG71" s="44">
        <v>0</v>
      </c>
      <c r="AH71" s="44" t="s">
        <v>256</v>
      </c>
      <c r="AI71" s="44">
        <v>14903230</v>
      </c>
      <c r="AJ71" s="44">
        <v>14903230</v>
      </c>
      <c r="AK71" s="44">
        <f t="shared" si="3"/>
        <v>0</v>
      </c>
      <c r="AL71" s="44">
        <f t="shared" si="4"/>
        <v>0</v>
      </c>
      <c r="AM71" s="44">
        <f t="shared" si="5"/>
        <v>0</v>
      </c>
    </row>
    <row r="72" spans="1:39" hidden="1" x14ac:dyDescent="0.25">
      <c r="A72" t="s">
        <v>465</v>
      </c>
      <c r="B72" t="s">
        <v>855</v>
      </c>
      <c r="C72" t="s">
        <v>482</v>
      </c>
      <c r="D72" t="s">
        <v>483</v>
      </c>
      <c r="E72" t="s">
        <v>863</v>
      </c>
      <c r="F72" t="s">
        <v>26</v>
      </c>
      <c r="G72" t="s">
        <v>469</v>
      </c>
      <c r="H72" t="s">
        <v>856</v>
      </c>
      <c r="I72" t="s">
        <v>485</v>
      </c>
      <c r="J72" t="s">
        <v>486</v>
      </c>
      <c r="K72" t="s">
        <v>864</v>
      </c>
      <c r="L72" t="s">
        <v>363</v>
      </c>
      <c r="M72" t="s">
        <v>864</v>
      </c>
      <c r="N72">
        <v>8031</v>
      </c>
      <c r="O72">
        <v>110</v>
      </c>
      <c r="P72" t="s">
        <v>933</v>
      </c>
      <c r="Q72" s="44">
        <v>0</v>
      </c>
      <c r="R72" s="44">
        <v>0</v>
      </c>
      <c r="S72" s="44">
        <v>0</v>
      </c>
      <c r="T72" s="44">
        <v>63766233</v>
      </c>
      <c r="U72" s="44">
        <v>0</v>
      </c>
      <c r="V72" s="44">
        <v>63766233</v>
      </c>
      <c r="W72" s="44">
        <v>26046103</v>
      </c>
      <c r="X72" s="44">
        <v>26046103</v>
      </c>
      <c r="Y72" s="44">
        <v>37720130</v>
      </c>
      <c r="Z72" s="44">
        <v>26046103</v>
      </c>
      <c r="AA72" s="44">
        <v>0</v>
      </c>
      <c r="AB72" s="44">
        <v>37720130</v>
      </c>
      <c r="AE72" s="44">
        <v>0</v>
      </c>
      <c r="AF72" s="44">
        <v>26046103</v>
      </c>
      <c r="AG72" s="44">
        <v>-18113093</v>
      </c>
      <c r="AH72" s="44" t="s">
        <v>256</v>
      </c>
      <c r="AI72" s="44">
        <v>26046103</v>
      </c>
      <c r="AJ72" s="44">
        <v>0</v>
      </c>
      <c r="AK72" s="44">
        <f t="shared" si="3"/>
        <v>0</v>
      </c>
      <c r="AL72" s="44">
        <f t="shared" si="4"/>
        <v>0</v>
      </c>
      <c r="AM72" s="44">
        <f t="shared" si="5"/>
        <v>26046103</v>
      </c>
    </row>
    <row r="73" spans="1:39" hidden="1" x14ac:dyDescent="0.25">
      <c r="A73" t="s">
        <v>465</v>
      </c>
      <c r="B73" t="s">
        <v>855</v>
      </c>
      <c r="C73" t="s">
        <v>482</v>
      </c>
      <c r="D73" t="s">
        <v>483</v>
      </c>
      <c r="E73" t="s">
        <v>866</v>
      </c>
      <c r="F73" t="s">
        <v>26</v>
      </c>
      <c r="G73" t="s">
        <v>469</v>
      </c>
      <c r="H73" t="s">
        <v>856</v>
      </c>
      <c r="I73" t="s">
        <v>485</v>
      </c>
      <c r="J73" t="s">
        <v>486</v>
      </c>
      <c r="K73" t="s">
        <v>867</v>
      </c>
      <c r="L73" t="s">
        <v>363</v>
      </c>
      <c r="M73" t="s">
        <v>868</v>
      </c>
      <c r="N73">
        <v>8033</v>
      </c>
      <c r="O73">
        <v>112</v>
      </c>
      <c r="P73" t="s">
        <v>950</v>
      </c>
      <c r="Q73" s="44">
        <v>0</v>
      </c>
      <c r="R73" s="44">
        <v>0</v>
      </c>
      <c r="S73" s="44">
        <v>0</v>
      </c>
      <c r="T73" s="44">
        <v>17800000</v>
      </c>
      <c r="U73" s="44">
        <v>0</v>
      </c>
      <c r="V73" s="44">
        <v>17800000</v>
      </c>
      <c r="W73" s="44">
        <v>17332863</v>
      </c>
      <c r="X73" s="44">
        <v>17332863</v>
      </c>
      <c r="Y73" s="44">
        <v>467137</v>
      </c>
      <c r="Z73" s="44">
        <v>17332863</v>
      </c>
      <c r="AA73" s="44">
        <v>0</v>
      </c>
      <c r="AB73" s="44">
        <v>467137</v>
      </c>
      <c r="AE73" s="44">
        <v>0</v>
      </c>
      <c r="AF73" s="44">
        <v>17332863</v>
      </c>
      <c r="AG73" s="44">
        <v>-439724</v>
      </c>
      <c r="AH73" s="44" t="s">
        <v>256</v>
      </c>
      <c r="AI73" s="44">
        <v>17332863</v>
      </c>
      <c r="AJ73" s="44">
        <v>0</v>
      </c>
      <c r="AK73" s="44">
        <f t="shared" si="3"/>
        <v>0</v>
      </c>
      <c r="AL73" s="44">
        <f t="shared" si="4"/>
        <v>0</v>
      </c>
      <c r="AM73" s="44">
        <f t="shared" si="5"/>
        <v>17332863</v>
      </c>
    </row>
    <row r="74" spans="1:39" hidden="1" x14ac:dyDescent="0.25">
      <c r="A74" t="s">
        <v>465</v>
      </c>
      <c r="B74" t="s">
        <v>855</v>
      </c>
      <c r="C74" t="s">
        <v>482</v>
      </c>
      <c r="D74" t="s">
        <v>483</v>
      </c>
      <c r="E74" t="s">
        <v>870</v>
      </c>
      <c r="F74" t="s">
        <v>26</v>
      </c>
      <c r="G74" t="s">
        <v>469</v>
      </c>
      <c r="H74" t="s">
        <v>856</v>
      </c>
      <c r="I74" t="s">
        <v>485</v>
      </c>
      <c r="J74" t="s">
        <v>486</v>
      </c>
      <c r="K74" t="s">
        <v>871</v>
      </c>
      <c r="L74" t="s">
        <v>363</v>
      </c>
      <c r="M74" t="s">
        <v>872</v>
      </c>
      <c r="N74">
        <v>8032</v>
      </c>
      <c r="O74">
        <v>111</v>
      </c>
      <c r="P74" t="s">
        <v>934</v>
      </c>
      <c r="Q74" s="44">
        <v>0</v>
      </c>
      <c r="R74" s="44">
        <v>0</v>
      </c>
      <c r="S74" s="44">
        <v>0</v>
      </c>
      <c r="T74" s="44">
        <v>77426550</v>
      </c>
      <c r="U74" s="44">
        <v>30000000</v>
      </c>
      <c r="V74" s="44">
        <v>47426550</v>
      </c>
      <c r="W74" s="44">
        <v>42055112</v>
      </c>
      <c r="X74" s="44">
        <v>42055112</v>
      </c>
      <c r="Y74" s="44">
        <v>5371438</v>
      </c>
      <c r="Z74" s="44">
        <v>42055112</v>
      </c>
      <c r="AA74" s="44">
        <v>0</v>
      </c>
      <c r="AB74" s="44">
        <v>5371438</v>
      </c>
      <c r="AE74" s="44">
        <v>12000000</v>
      </c>
      <c r="AF74" s="44">
        <v>30055112</v>
      </c>
      <c r="AG74" s="44">
        <v>-5221438</v>
      </c>
      <c r="AH74" s="44" t="s">
        <v>256</v>
      </c>
      <c r="AI74" s="44">
        <v>30055112</v>
      </c>
      <c r="AJ74" s="44">
        <v>0</v>
      </c>
      <c r="AK74" s="44">
        <f t="shared" si="3"/>
        <v>0</v>
      </c>
      <c r="AL74" s="44">
        <f t="shared" si="4"/>
        <v>0</v>
      </c>
      <c r="AM74" s="44">
        <f t="shared" si="5"/>
        <v>30055112</v>
      </c>
    </row>
    <row r="75" spans="1:39" hidden="1" x14ac:dyDescent="0.25">
      <c r="A75" t="s">
        <v>465</v>
      </c>
      <c r="B75" t="s">
        <v>855</v>
      </c>
      <c r="C75" t="s">
        <v>482</v>
      </c>
      <c r="D75" t="s">
        <v>483</v>
      </c>
      <c r="E75" t="s">
        <v>874</v>
      </c>
      <c r="F75" t="s">
        <v>26</v>
      </c>
      <c r="G75" t="s">
        <v>469</v>
      </c>
      <c r="H75" t="s">
        <v>856</v>
      </c>
      <c r="I75" t="s">
        <v>485</v>
      </c>
      <c r="J75" t="s">
        <v>486</v>
      </c>
      <c r="K75" t="s">
        <v>875</v>
      </c>
      <c r="L75" t="s">
        <v>363</v>
      </c>
      <c r="M75" t="s">
        <v>875</v>
      </c>
      <c r="N75">
        <v>8034</v>
      </c>
      <c r="O75">
        <v>113</v>
      </c>
      <c r="P75" t="s">
        <v>951</v>
      </c>
      <c r="Q75" s="44">
        <v>0</v>
      </c>
      <c r="R75" s="44">
        <v>0</v>
      </c>
      <c r="S75" s="44">
        <v>0</v>
      </c>
      <c r="T75" s="44">
        <v>13000000</v>
      </c>
      <c r="U75" s="44">
        <v>0</v>
      </c>
      <c r="V75" s="44">
        <v>13000000</v>
      </c>
      <c r="W75" s="44">
        <v>964855</v>
      </c>
      <c r="X75" s="44">
        <v>964855</v>
      </c>
      <c r="Y75" s="44">
        <v>12035145</v>
      </c>
      <c r="Z75" s="44">
        <v>964855</v>
      </c>
      <c r="AA75" s="44">
        <v>0</v>
      </c>
      <c r="AB75" s="44">
        <v>12035145</v>
      </c>
      <c r="AE75" s="44">
        <v>0</v>
      </c>
      <c r="AF75" s="44">
        <v>964855</v>
      </c>
      <c r="AG75" s="44">
        <v>-12024478</v>
      </c>
      <c r="AH75" s="44" t="s">
        <v>256</v>
      </c>
      <c r="AI75" s="44">
        <v>964855</v>
      </c>
      <c r="AJ75" s="44">
        <v>0</v>
      </c>
      <c r="AK75" s="44">
        <f t="shared" si="3"/>
        <v>0</v>
      </c>
      <c r="AL75" s="44">
        <f t="shared" si="4"/>
        <v>0</v>
      </c>
      <c r="AM75" s="44">
        <f t="shared" si="5"/>
        <v>964855</v>
      </c>
    </row>
    <row r="76" spans="1:39" hidden="1" x14ac:dyDescent="0.25">
      <c r="A76" t="s">
        <v>495</v>
      </c>
      <c r="B76" t="s">
        <v>355</v>
      </c>
      <c r="C76" t="s">
        <v>482</v>
      </c>
      <c r="D76" t="s">
        <v>496</v>
      </c>
      <c r="E76" t="s">
        <v>517</v>
      </c>
      <c r="F76" t="s">
        <v>26</v>
      </c>
      <c r="G76" t="s">
        <v>498</v>
      </c>
      <c r="H76" t="s">
        <v>33</v>
      </c>
      <c r="I76" t="s">
        <v>485</v>
      </c>
      <c r="J76" t="s">
        <v>499</v>
      </c>
      <c r="K76" t="s">
        <v>518</v>
      </c>
      <c r="L76" t="s">
        <v>363</v>
      </c>
      <c r="M76" t="s">
        <v>518</v>
      </c>
      <c r="N76">
        <v>8041</v>
      </c>
      <c r="O76">
        <v>120</v>
      </c>
      <c r="P76" t="s">
        <v>972</v>
      </c>
      <c r="Q76" s="44">
        <v>0</v>
      </c>
      <c r="R76" s="44">
        <v>50000000</v>
      </c>
      <c r="S76" s="44">
        <v>0</v>
      </c>
      <c r="T76" s="44">
        <v>0</v>
      </c>
      <c r="U76" s="44">
        <v>0</v>
      </c>
      <c r="V76" s="44">
        <v>50000000</v>
      </c>
      <c r="W76" s="44">
        <v>50000000</v>
      </c>
      <c r="X76" s="44">
        <v>50000000</v>
      </c>
      <c r="Y76" s="44">
        <v>0</v>
      </c>
      <c r="Z76" s="44">
        <v>50000000</v>
      </c>
      <c r="AA76" s="44">
        <v>0</v>
      </c>
      <c r="AB76" s="44">
        <v>0</v>
      </c>
      <c r="AE76" s="44">
        <v>50000000</v>
      </c>
      <c r="AF76" s="44">
        <v>50000000</v>
      </c>
      <c r="AG76" s="44">
        <v>0</v>
      </c>
      <c r="AH76" s="44">
        <v>0</v>
      </c>
      <c r="AI76" s="44">
        <v>50000000</v>
      </c>
      <c r="AJ76" s="44">
        <v>50000000</v>
      </c>
      <c r="AK76" s="44">
        <f t="shared" si="3"/>
        <v>0</v>
      </c>
      <c r="AL76" s="44">
        <f t="shared" si="4"/>
        <v>0</v>
      </c>
      <c r="AM76" s="44">
        <f t="shared" si="5"/>
        <v>0</v>
      </c>
    </row>
    <row r="77" spans="1:39" hidden="1" x14ac:dyDescent="0.25">
      <c r="A77" t="s">
        <v>495</v>
      </c>
      <c r="B77" t="s">
        <v>355</v>
      </c>
      <c r="C77" t="s">
        <v>482</v>
      </c>
      <c r="D77" t="s">
        <v>496</v>
      </c>
      <c r="E77" t="s">
        <v>497</v>
      </c>
      <c r="F77" t="s">
        <v>26</v>
      </c>
      <c r="G77" t="s">
        <v>498</v>
      </c>
      <c r="H77" t="s">
        <v>33</v>
      </c>
      <c r="I77" t="s">
        <v>485</v>
      </c>
      <c r="J77" t="s">
        <v>499</v>
      </c>
      <c r="K77" t="s">
        <v>500</v>
      </c>
      <c r="L77" t="s">
        <v>363</v>
      </c>
      <c r="M77" t="s">
        <v>500</v>
      </c>
      <c r="N77">
        <v>7926</v>
      </c>
      <c r="O77">
        <v>34</v>
      </c>
      <c r="P77" t="s">
        <v>501</v>
      </c>
      <c r="Q77" s="44">
        <v>259850942</v>
      </c>
      <c r="R77" s="44">
        <v>140000000</v>
      </c>
      <c r="S77" s="44">
        <v>0</v>
      </c>
      <c r="T77" s="44">
        <v>350000000</v>
      </c>
      <c r="U77" s="44">
        <v>0</v>
      </c>
      <c r="V77" s="44">
        <v>749850942</v>
      </c>
      <c r="W77" s="44">
        <v>386101566</v>
      </c>
      <c r="X77" s="44">
        <v>386101566</v>
      </c>
      <c r="Y77" s="44">
        <v>363749376</v>
      </c>
      <c r="Z77" s="44">
        <v>386101566</v>
      </c>
      <c r="AA77" s="44">
        <v>0</v>
      </c>
      <c r="AB77" s="44">
        <v>363749376</v>
      </c>
      <c r="AE77" s="44">
        <v>217202720</v>
      </c>
      <c r="AF77" s="44">
        <v>178898846</v>
      </c>
      <c r="AG77" s="44">
        <v>-23749376</v>
      </c>
      <c r="AH77" s="44">
        <v>0</v>
      </c>
      <c r="AI77" s="44">
        <v>178898846</v>
      </c>
      <c r="AJ77" s="44">
        <v>10000000</v>
      </c>
      <c r="AK77" s="44">
        <f t="shared" si="3"/>
        <v>0</v>
      </c>
      <c r="AL77" s="44">
        <f t="shared" si="4"/>
        <v>0</v>
      </c>
      <c r="AM77" s="44">
        <f t="shared" si="5"/>
        <v>168898846</v>
      </c>
    </row>
    <row r="78" spans="1:39" hidden="1" x14ac:dyDescent="0.25">
      <c r="A78" t="s">
        <v>495</v>
      </c>
      <c r="B78" t="s">
        <v>355</v>
      </c>
      <c r="C78" t="s">
        <v>482</v>
      </c>
      <c r="D78" t="s">
        <v>496</v>
      </c>
      <c r="E78" t="s">
        <v>502</v>
      </c>
      <c r="F78" t="s">
        <v>26</v>
      </c>
      <c r="G78" t="s">
        <v>498</v>
      </c>
      <c r="H78" t="s">
        <v>33</v>
      </c>
      <c r="I78" t="s">
        <v>485</v>
      </c>
      <c r="J78" t="s">
        <v>499</v>
      </c>
      <c r="K78" t="s">
        <v>503</v>
      </c>
      <c r="L78" t="s">
        <v>363</v>
      </c>
      <c r="M78" t="s">
        <v>503</v>
      </c>
      <c r="N78">
        <v>7927</v>
      </c>
      <c r="O78">
        <v>35</v>
      </c>
      <c r="P78" t="s">
        <v>504</v>
      </c>
      <c r="Q78" s="44">
        <v>8950000</v>
      </c>
      <c r="R78" s="44">
        <v>0</v>
      </c>
      <c r="S78" s="44">
        <v>0</v>
      </c>
      <c r="T78" s="44">
        <v>0</v>
      </c>
      <c r="U78" s="44">
        <v>0</v>
      </c>
      <c r="V78" s="44">
        <v>8950000</v>
      </c>
      <c r="W78" s="44">
        <v>8950000</v>
      </c>
      <c r="X78" s="44">
        <v>8950000</v>
      </c>
      <c r="Y78" s="44">
        <v>0</v>
      </c>
      <c r="Z78" s="44">
        <v>8950000</v>
      </c>
      <c r="AA78" s="44">
        <v>0</v>
      </c>
      <c r="AB78" s="44">
        <v>0</v>
      </c>
      <c r="AE78" s="44">
        <v>7160000</v>
      </c>
      <c r="AF78" s="44">
        <v>1790000</v>
      </c>
      <c r="AG78" s="44">
        <v>0</v>
      </c>
      <c r="AH78" s="44">
        <v>0</v>
      </c>
      <c r="AI78" s="44">
        <v>1790000</v>
      </c>
      <c r="AJ78" s="44">
        <v>0</v>
      </c>
      <c r="AK78" s="44">
        <f t="shared" si="3"/>
        <v>0</v>
      </c>
      <c r="AL78" s="44">
        <f t="shared" si="4"/>
        <v>0</v>
      </c>
      <c r="AM78" s="44">
        <f t="shared" si="5"/>
        <v>1790000</v>
      </c>
    </row>
    <row r="79" spans="1:39" hidden="1" x14ac:dyDescent="0.25">
      <c r="A79" t="s">
        <v>495</v>
      </c>
      <c r="B79" t="s">
        <v>355</v>
      </c>
      <c r="C79" t="s">
        <v>482</v>
      </c>
      <c r="D79" t="s">
        <v>496</v>
      </c>
      <c r="E79" t="s">
        <v>505</v>
      </c>
      <c r="F79" t="s">
        <v>26</v>
      </c>
      <c r="G79" t="s">
        <v>498</v>
      </c>
      <c r="H79" t="s">
        <v>33</v>
      </c>
      <c r="I79" t="s">
        <v>485</v>
      </c>
      <c r="J79" t="s">
        <v>499</v>
      </c>
      <c r="K79" t="s">
        <v>506</v>
      </c>
      <c r="L79" t="s">
        <v>363</v>
      </c>
      <c r="M79" t="s">
        <v>506</v>
      </c>
      <c r="N79">
        <v>7928</v>
      </c>
      <c r="O79">
        <v>36</v>
      </c>
      <c r="P79" t="s">
        <v>507</v>
      </c>
      <c r="Q79" s="44">
        <v>35000000</v>
      </c>
      <c r="R79" s="44">
        <v>0</v>
      </c>
      <c r="S79" s="44">
        <v>0</v>
      </c>
      <c r="T79" s="44">
        <v>0</v>
      </c>
      <c r="U79" s="44">
        <v>0</v>
      </c>
      <c r="V79" s="44">
        <v>35000000</v>
      </c>
      <c r="W79" s="44">
        <v>35000000</v>
      </c>
      <c r="X79" s="44">
        <v>35000000</v>
      </c>
      <c r="Y79" s="44">
        <v>0</v>
      </c>
      <c r="Z79" s="44">
        <v>35000000</v>
      </c>
      <c r="AA79" s="44">
        <v>0</v>
      </c>
      <c r="AB79" s="44">
        <v>0</v>
      </c>
      <c r="AE79" s="44">
        <v>28000000</v>
      </c>
      <c r="AF79" s="44">
        <v>7000000</v>
      </c>
      <c r="AG79" s="44">
        <v>0</v>
      </c>
      <c r="AH79" s="44">
        <v>0</v>
      </c>
      <c r="AI79" s="44">
        <v>7000000</v>
      </c>
      <c r="AJ79" s="44">
        <v>0</v>
      </c>
      <c r="AK79" s="44">
        <f t="shared" si="3"/>
        <v>0</v>
      </c>
      <c r="AL79" s="44">
        <f t="shared" si="4"/>
        <v>0</v>
      </c>
      <c r="AM79" s="44">
        <f t="shared" si="5"/>
        <v>7000000</v>
      </c>
    </row>
    <row r="80" spans="1:39" hidden="1" x14ac:dyDescent="0.25">
      <c r="A80" t="s">
        <v>495</v>
      </c>
      <c r="B80" t="s">
        <v>355</v>
      </c>
      <c r="C80" t="s">
        <v>482</v>
      </c>
      <c r="D80" t="s">
        <v>496</v>
      </c>
      <c r="E80" t="s">
        <v>508</v>
      </c>
      <c r="F80" t="s">
        <v>26</v>
      </c>
      <c r="G80" t="s">
        <v>498</v>
      </c>
      <c r="H80" t="s">
        <v>33</v>
      </c>
      <c r="I80" t="s">
        <v>485</v>
      </c>
      <c r="J80" t="s">
        <v>499</v>
      </c>
      <c r="K80" t="s">
        <v>509</v>
      </c>
      <c r="L80" t="s">
        <v>363</v>
      </c>
      <c r="M80" t="s">
        <v>509</v>
      </c>
      <c r="N80">
        <v>7929</v>
      </c>
      <c r="O80">
        <v>37</v>
      </c>
      <c r="P80" t="s">
        <v>510</v>
      </c>
      <c r="Q80" s="44">
        <v>105074529</v>
      </c>
      <c r="R80" s="44">
        <v>0</v>
      </c>
      <c r="S80" s="44">
        <v>0</v>
      </c>
      <c r="T80" s="44">
        <v>0</v>
      </c>
      <c r="U80" s="44">
        <v>0</v>
      </c>
      <c r="V80" s="44">
        <v>105074529</v>
      </c>
      <c r="W80" s="44">
        <v>76939990</v>
      </c>
      <c r="X80" s="44">
        <v>76939990</v>
      </c>
      <c r="Y80" s="44">
        <v>28134539</v>
      </c>
      <c r="Z80" s="44">
        <v>76939990</v>
      </c>
      <c r="AA80" s="44">
        <v>0</v>
      </c>
      <c r="AB80" s="44">
        <v>28134539</v>
      </c>
      <c r="AE80" s="44">
        <v>6000000</v>
      </c>
      <c r="AF80" s="44">
        <v>70939990</v>
      </c>
      <c r="AG80" s="44">
        <v>-28060010</v>
      </c>
      <c r="AH80" s="44" t="s">
        <v>256</v>
      </c>
      <c r="AI80" s="44">
        <v>70939990</v>
      </c>
      <c r="AJ80" s="44">
        <v>0</v>
      </c>
      <c r="AK80" s="44">
        <f t="shared" si="3"/>
        <v>0</v>
      </c>
      <c r="AL80" s="44">
        <f t="shared" si="4"/>
        <v>0</v>
      </c>
      <c r="AM80" s="44">
        <f t="shared" si="5"/>
        <v>70939990</v>
      </c>
    </row>
    <row r="81" spans="1:39" hidden="1" x14ac:dyDescent="0.25">
      <c r="A81" t="s">
        <v>495</v>
      </c>
      <c r="B81" t="s">
        <v>355</v>
      </c>
      <c r="C81" t="s">
        <v>482</v>
      </c>
      <c r="D81" t="s">
        <v>496</v>
      </c>
      <c r="E81" t="s">
        <v>511</v>
      </c>
      <c r="F81" t="s">
        <v>26</v>
      </c>
      <c r="G81" t="s">
        <v>498</v>
      </c>
      <c r="H81" t="s">
        <v>33</v>
      </c>
      <c r="I81" t="s">
        <v>485</v>
      </c>
      <c r="J81" t="s">
        <v>499</v>
      </c>
      <c r="K81" t="s">
        <v>512</v>
      </c>
      <c r="L81" t="s">
        <v>363</v>
      </c>
      <c r="M81" t="s">
        <v>512</v>
      </c>
      <c r="N81">
        <v>7930</v>
      </c>
      <c r="O81">
        <v>38</v>
      </c>
      <c r="P81" t="s">
        <v>513</v>
      </c>
      <c r="Q81" s="44">
        <v>25000000</v>
      </c>
      <c r="R81" s="44">
        <v>0</v>
      </c>
      <c r="S81" s="44">
        <v>0</v>
      </c>
      <c r="T81" s="44">
        <v>0</v>
      </c>
      <c r="U81" s="44">
        <v>0</v>
      </c>
      <c r="V81" s="44">
        <v>25000000</v>
      </c>
      <c r="W81" s="44">
        <v>25000000</v>
      </c>
      <c r="X81" s="44">
        <v>25000000</v>
      </c>
      <c r="Y81" s="44">
        <v>0</v>
      </c>
      <c r="Z81" s="44">
        <v>25000000</v>
      </c>
      <c r="AA81" s="44">
        <v>0</v>
      </c>
      <c r="AB81" s="44">
        <v>0</v>
      </c>
      <c r="AE81" s="44">
        <v>20000000</v>
      </c>
      <c r="AF81" s="44">
        <v>5000000</v>
      </c>
      <c r="AG81" s="44">
        <v>0</v>
      </c>
      <c r="AH81" s="44">
        <v>0</v>
      </c>
      <c r="AI81" s="44">
        <v>5000000</v>
      </c>
      <c r="AJ81" s="44">
        <v>0</v>
      </c>
      <c r="AK81" s="44">
        <f t="shared" si="3"/>
        <v>0</v>
      </c>
      <c r="AL81" s="44">
        <f t="shared" si="4"/>
        <v>0</v>
      </c>
      <c r="AM81" s="44">
        <f t="shared" si="5"/>
        <v>5000000</v>
      </c>
    </row>
    <row r="82" spans="1:39" hidden="1" x14ac:dyDescent="0.25">
      <c r="A82" t="s">
        <v>495</v>
      </c>
      <c r="B82" t="s">
        <v>355</v>
      </c>
      <c r="C82" t="s">
        <v>482</v>
      </c>
      <c r="D82" t="s">
        <v>496</v>
      </c>
      <c r="E82" t="s">
        <v>514</v>
      </c>
      <c r="F82" t="s">
        <v>26</v>
      </c>
      <c r="G82" t="s">
        <v>498</v>
      </c>
      <c r="H82" t="s">
        <v>33</v>
      </c>
      <c r="I82" t="s">
        <v>485</v>
      </c>
      <c r="J82" t="s">
        <v>499</v>
      </c>
      <c r="K82" t="s">
        <v>515</v>
      </c>
      <c r="L82" t="s">
        <v>363</v>
      </c>
      <c r="M82" t="s">
        <v>515</v>
      </c>
      <c r="N82">
        <v>7931</v>
      </c>
      <c r="O82">
        <v>39</v>
      </c>
      <c r="P82" t="s">
        <v>516</v>
      </c>
      <c r="Q82" s="44">
        <v>10000000</v>
      </c>
      <c r="R82" s="44">
        <v>0</v>
      </c>
      <c r="S82" s="44">
        <v>0</v>
      </c>
      <c r="T82" s="44">
        <v>0</v>
      </c>
      <c r="U82" s="44">
        <v>0</v>
      </c>
      <c r="V82" s="44">
        <v>10000000</v>
      </c>
      <c r="W82" s="44">
        <v>10000000</v>
      </c>
      <c r="X82" s="44">
        <v>10000000</v>
      </c>
      <c r="Y82" s="44">
        <v>0</v>
      </c>
      <c r="Z82" s="44">
        <v>10000000</v>
      </c>
      <c r="AA82" s="44">
        <v>0</v>
      </c>
      <c r="AB82" s="44">
        <v>0</v>
      </c>
      <c r="AE82" s="44">
        <v>8000000</v>
      </c>
      <c r="AF82" s="44">
        <v>2000000</v>
      </c>
      <c r="AG82" s="44">
        <v>0</v>
      </c>
      <c r="AH82" s="44">
        <v>0</v>
      </c>
      <c r="AI82" s="44">
        <v>2000000</v>
      </c>
      <c r="AJ82" s="44">
        <v>0</v>
      </c>
      <c r="AK82" s="44">
        <f t="shared" si="3"/>
        <v>0</v>
      </c>
      <c r="AL82" s="44">
        <f t="shared" si="4"/>
        <v>0</v>
      </c>
      <c r="AM82" s="44">
        <f t="shared" si="5"/>
        <v>2000000</v>
      </c>
    </row>
    <row r="83" spans="1:39" hidden="1" x14ac:dyDescent="0.25">
      <c r="A83" t="s">
        <v>495</v>
      </c>
      <c r="B83" t="s">
        <v>492</v>
      </c>
      <c r="C83" t="s">
        <v>482</v>
      </c>
      <c r="D83" t="s">
        <v>496</v>
      </c>
      <c r="E83" t="s">
        <v>517</v>
      </c>
      <c r="F83" t="s">
        <v>26</v>
      </c>
      <c r="G83" t="s">
        <v>498</v>
      </c>
      <c r="H83" t="s">
        <v>493</v>
      </c>
      <c r="I83" t="s">
        <v>485</v>
      </c>
      <c r="J83" t="s">
        <v>499</v>
      </c>
      <c r="K83" t="s">
        <v>518</v>
      </c>
      <c r="L83" t="s">
        <v>363</v>
      </c>
      <c r="M83" t="s">
        <v>518</v>
      </c>
      <c r="N83">
        <v>7932</v>
      </c>
      <c r="O83">
        <v>40</v>
      </c>
      <c r="P83" t="s">
        <v>519</v>
      </c>
      <c r="Q83" s="44">
        <v>20000000</v>
      </c>
      <c r="R83" s="44">
        <v>0</v>
      </c>
      <c r="S83" s="44">
        <v>0</v>
      </c>
      <c r="T83" s="44">
        <v>0</v>
      </c>
      <c r="U83" s="44">
        <v>0</v>
      </c>
      <c r="V83" s="44">
        <v>20000000</v>
      </c>
      <c r="W83" s="44">
        <v>20000000</v>
      </c>
      <c r="X83" s="44">
        <v>20000000</v>
      </c>
      <c r="Y83" s="44">
        <v>0</v>
      </c>
      <c r="Z83" s="44">
        <v>20000000</v>
      </c>
      <c r="AA83" s="44">
        <v>0</v>
      </c>
      <c r="AB83" s="44">
        <v>0</v>
      </c>
      <c r="AE83" s="44">
        <v>16000000</v>
      </c>
      <c r="AF83" s="44">
        <v>4000000</v>
      </c>
      <c r="AG83" s="44">
        <v>0</v>
      </c>
      <c r="AH83" s="44">
        <v>0</v>
      </c>
      <c r="AI83" s="44">
        <v>4000000</v>
      </c>
      <c r="AJ83" s="44">
        <v>0</v>
      </c>
      <c r="AK83" s="44">
        <f t="shared" si="3"/>
        <v>0</v>
      </c>
      <c r="AL83" s="44">
        <f t="shared" si="4"/>
        <v>0</v>
      </c>
      <c r="AM83" s="44">
        <f t="shared" si="5"/>
        <v>4000000</v>
      </c>
    </row>
    <row r="84" spans="1:39" hidden="1" x14ac:dyDescent="0.25">
      <c r="A84" t="s">
        <v>495</v>
      </c>
      <c r="B84" t="s">
        <v>492</v>
      </c>
      <c r="C84" t="s">
        <v>482</v>
      </c>
      <c r="D84" t="s">
        <v>496</v>
      </c>
      <c r="E84" t="s">
        <v>502</v>
      </c>
      <c r="F84" t="s">
        <v>26</v>
      </c>
      <c r="G84" t="s">
        <v>498</v>
      </c>
      <c r="H84" t="s">
        <v>493</v>
      </c>
      <c r="I84" t="s">
        <v>485</v>
      </c>
      <c r="J84" t="s">
        <v>499</v>
      </c>
      <c r="K84" t="s">
        <v>503</v>
      </c>
      <c r="L84" t="s">
        <v>363</v>
      </c>
      <c r="M84" t="s">
        <v>503</v>
      </c>
      <c r="N84">
        <v>7933</v>
      </c>
      <c r="O84">
        <v>41</v>
      </c>
      <c r="P84" t="s">
        <v>520</v>
      </c>
      <c r="Q84" s="44">
        <v>16050000</v>
      </c>
      <c r="R84" s="44">
        <v>0</v>
      </c>
      <c r="S84" s="44">
        <v>0</v>
      </c>
      <c r="T84" s="44">
        <v>0</v>
      </c>
      <c r="U84" s="44">
        <v>0</v>
      </c>
      <c r="V84" s="44">
        <v>16050000</v>
      </c>
      <c r="W84" s="44">
        <v>16050000</v>
      </c>
      <c r="X84" s="44">
        <v>16050000</v>
      </c>
      <c r="Y84" s="44">
        <v>0</v>
      </c>
      <c r="Z84" s="44">
        <v>16050000</v>
      </c>
      <c r="AA84" s="44">
        <v>0</v>
      </c>
      <c r="AB84" s="44">
        <v>0</v>
      </c>
      <c r="AE84" s="44">
        <v>12840000</v>
      </c>
      <c r="AF84" s="44">
        <v>3210000</v>
      </c>
      <c r="AG84" s="44">
        <v>0</v>
      </c>
      <c r="AH84" s="44">
        <v>0</v>
      </c>
      <c r="AI84" s="44">
        <v>3210000</v>
      </c>
      <c r="AJ84" s="44">
        <v>0</v>
      </c>
      <c r="AK84" s="44">
        <f t="shared" si="3"/>
        <v>0</v>
      </c>
      <c r="AL84" s="44">
        <f t="shared" si="4"/>
        <v>0</v>
      </c>
      <c r="AM84" s="44">
        <f t="shared" si="5"/>
        <v>3210000</v>
      </c>
    </row>
    <row r="85" spans="1:39" hidden="1" x14ac:dyDescent="0.25">
      <c r="A85" t="s">
        <v>521</v>
      </c>
      <c r="B85" t="s">
        <v>355</v>
      </c>
      <c r="C85" t="s">
        <v>521</v>
      </c>
      <c r="D85" t="s">
        <v>521</v>
      </c>
      <c r="E85" t="s">
        <v>522</v>
      </c>
      <c r="F85" t="s">
        <v>26</v>
      </c>
      <c r="G85" t="s">
        <v>523</v>
      </c>
      <c r="H85" t="s">
        <v>33</v>
      </c>
      <c r="I85" t="s">
        <v>524</v>
      </c>
      <c r="J85" t="s">
        <v>524</v>
      </c>
      <c r="K85" t="s">
        <v>524</v>
      </c>
      <c r="L85" t="s">
        <v>363</v>
      </c>
      <c r="M85" t="s">
        <v>525</v>
      </c>
      <c r="N85">
        <v>7934</v>
      </c>
      <c r="O85">
        <v>42</v>
      </c>
      <c r="P85" t="s">
        <v>526</v>
      </c>
      <c r="Q85" s="44">
        <v>2959228126</v>
      </c>
      <c r="R85" s="44">
        <v>0</v>
      </c>
      <c r="S85" s="44">
        <v>0</v>
      </c>
      <c r="T85" s="44">
        <v>0</v>
      </c>
      <c r="U85" s="44">
        <v>70000000</v>
      </c>
      <c r="V85" s="44">
        <v>2889228126</v>
      </c>
      <c r="W85" s="44">
        <v>2513047313</v>
      </c>
      <c r="X85" s="44">
        <v>2513047313</v>
      </c>
      <c r="Y85" s="44">
        <v>376180813</v>
      </c>
      <c r="Z85" s="44">
        <v>2513047313</v>
      </c>
      <c r="AA85" s="44">
        <v>0</v>
      </c>
      <c r="AB85" s="44">
        <v>376180813</v>
      </c>
      <c r="AE85" s="44">
        <v>2513047313</v>
      </c>
      <c r="AF85" s="44">
        <v>218799406</v>
      </c>
      <c r="AG85" s="44">
        <v>218799406</v>
      </c>
      <c r="AH85" s="44">
        <v>218799406</v>
      </c>
      <c r="AI85" s="44">
        <v>218799406</v>
      </c>
      <c r="AJ85" s="44">
        <v>218799406</v>
      </c>
      <c r="AK85" s="44">
        <f t="shared" si="3"/>
        <v>0</v>
      </c>
      <c r="AL85" s="44">
        <f t="shared" si="4"/>
        <v>0</v>
      </c>
      <c r="AM85" s="44">
        <f t="shared" si="5"/>
        <v>0</v>
      </c>
    </row>
    <row r="86" spans="1:39" hidden="1" x14ac:dyDescent="0.25">
      <c r="A86" t="s">
        <v>521</v>
      </c>
      <c r="B86" t="s">
        <v>355</v>
      </c>
      <c r="C86" t="s">
        <v>521</v>
      </c>
      <c r="D86" t="s">
        <v>521</v>
      </c>
      <c r="E86" t="s">
        <v>522</v>
      </c>
      <c r="F86" t="s">
        <v>26</v>
      </c>
      <c r="G86" t="s">
        <v>523</v>
      </c>
      <c r="H86" t="s">
        <v>33</v>
      </c>
      <c r="I86" t="s">
        <v>524</v>
      </c>
      <c r="J86" t="s">
        <v>524</v>
      </c>
      <c r="K86" t="s">
        <v>524</v>
      </c>
      <c r="L86" t="s">
        <v>363</v>
      </c>
      <c r="M86" t="s">
        <v>527</v>
      </c>
      <c r="N86">
        <v>7935</v>
      </c>
      <c r="O86">
        <v>43</v>
      </c>
      <c r="P86" t="s">
        <v>528</v>
      </c>
      <c r="Q86" s="44">
        <v>48580516</v>
      </c>
      <c r="R86" s="44">
        <v>0</v>
      </c>
      <c r="S86" s="44">
        <v>0</v>
      </c>
      <c r="T86" s="44">
        <v>0</v>
      </c>
      <c r="U86" s="44">
        <v>0</v>
      </c>
      <c r="V86" s="44">
        <v>48580516</v>
      </c>
      <c r="W86" s="44">
        <v>16427205</v>
      </c>
      <c r="X86" s="44">
        <v>16427205</v>
      </c>
      <c r="Y86" s="44">
        <v>32153311</v>
      </c>
      <c r="Z86" s="44">
        <v>16427205</v>
      </c>
      <c r="AA86" s="44">
        <v>0</v>
      </c>
      <c r="AB86" s="44">
        <v>32153311</v>
      </c>
      <c r="AE86" s="44">
        <v>16427205</v>
      </c>
      <c r="AF86" s="44">
        <v>401768</v>
      </c>
      <c r="AG86" s="44">
        <v>401768</v>
      </c>
      <c r="AH86" s="44">
        <v>401768</v>
      </c>
      <c r="AI86" s="44">
        <v>401768</v>
      </c>
      <c r="AJ86" s="44">
        <v>401768</v>
      </c>
      <c r="AK86" s="44">
        <f t="shared" si="3"/>
        <v>0</v>
      </c>
      <c r="AL86" s="44">
        <f t="shared" si="4"/>
        <v>0</v>
      </c>
      <c r="AM86" s="44">
        <f t="shared" si="5"/>
        <v>0</v>
      </c>
    </row>
    <row r="87" spans="1:39" hidden="1" x14ac:dyDescent="0.25">
      <c r="A87" t="s">
        <v>521</v>
      </c>
      <c r="B87" t="s">
        <v>355</v>
      </c>
      <c r="C87" t="s">
        <v>521</v>
      </c>
      <c r="D87" t="s">
        <v>521</v>
      </c>
      <c r="E87" t="s">
        <v>522</v>
      </c>
      <c r="F87" t="s">
        <v>26</v>
      </c>
      <c r="G87" t="s">
        <v>523</v>
      </c>
      <c r="H87" t="s">
        <v>33</v>
      </c>
      <c r="I87" t="s">
        <v>524</v>
      </c>
      <c r="J87" t="s">
        <v>524</v>
      </c>
      <c r="K87" t="s">
        <v>524</v>
      </c>
      <c r="L87" t="s">
        <v>363</v>
      </c>
      <c r="M87" t="s">
        <v>529</v>
      </c>
      <c r="N87">
        <v>7936</v>
      </c>
      <c r="O87">
        <v>44</v>
      </c>
      <c r="P87" t="s">
        <v>530</v>
      </c>
      <c r="Q87" s="44">
        <v>367200</v>
      </c>
      <c r="R87" s="44">
        <v>0</v>
      </c>
      <c r="S87" s="44">
        <v>0</v>
      </c>
      <c r="T87" s="44">
        <v>0</v>
      </c>
      <c r="U87" s="44">
        <v>0</v>
      </c>
      <c r="V87" s="44">
        <v>367200</v>
      </c>
      <c r="W87" s="44">
        <v>345000</v>
      </c>
      <c r="X87" s="44">
        <v>345000</v>
      </c>
      <c r="Y87" s="44">
        <v>22200</v>
      </c>
      <c r="Z87" s="44">
        <v>345000</v>
      </c>
      <c r="AA87" s="44">
        <v>0</v>
      </c>
      <c r="AB87" s="44">
        <v>22200</v>
      </c>
      <c r="AE87" s="44">
        <v>345000</v>
      </c>
      <c r="AF87" s="44">
        <v>28500</v>
      </c>
      <c r="AG87" s="44">
        <v>28500</v>
      </c>
      <c r="AH87" s="44">
        <v>28500</v>
      </c>
      <c r="AI87" s="44">
        <v>28500</v>
      </c>
      <c r="AJ87" s="44">
        <v>28500</v>
      </c>
      <c r="AK87" s="44">
        <f t="shared" si="3"/>
        <v>0</v>
      </c>
      <c r="AL87" s="44">
        <f t="shared" si="4"/>
        <v>0</v>
      </c>
      <c r="AM87" s="44">
        <f t="shared" si="5"/>
        <v>0</v>
      </c>
    </row>
    <row r="88" spans="1:39" hidden="1" x14ac:dyDescent="0.25">
      <c r="A88" t="s">
        <v>521</v>
      </c>
      <c r="B88" t="s">
        <v>355</v>
      </c>
      <c r="C88" t="s">
        <v>521</v>
      </c>
      <c r="D88" t="s">
        <v>521</v>
      </c>
      <c r="E88" t="s">
        <v>522</v>
      </c>
      <c r="F88" t="s">
        <v>26</v>
      </c>
      <c r="G88" t="s">
        <v>523</v>
      </c>
      <c r="H88" t="s">
        <v>33</v>
      </c>
      <c r="I88" t="s">
        <v>524</v>
      </c>
      <c r="J88" t="s">
        <v>524</v>
      </c>
      <c r="K88" t="s">
        <v>524</v>
      </c>
      <c r="L88" t="s">
        <v>363</v>
      </c>
      <c r="M88" t="s">
        <v>531</v>
      </c>
      <c r="N88">
        <v>7937</v>
      </c>
      <c r="O88">
        <v>45</v>
      </c>
      <c r="P88" t="s">
        <v>532</v>
      </c>
      <c r="Q88" s="44">
        <v>125081046</v>
      </c>
      <c r="R88" s="44">
        <v>0</v>
      </c>
      <c r="S88" s="44">
        <v>0</v>
      </c>
      <c r="T88" s="44">
        <v>0</v>
      </c>
      <c r="U88" s="44">
        <v>0</v>
      </c>
      <c r="V88" s="44">
        <v>125081046</v>
      </c>
      <c r="W88" s="44">
        <v>116234892</v>
      </c>
      <c r="X88" s="44">
        <v>116234892</v>
      </c>
      <c r="Y88" s="44">
        <v>8846154</v>
      </c>
      <c r="Z88" s="44">
        <v>116234892</v>
      </c>
      <c r="AA88" s="44">
        <v>0</v>
      </c>
      <c r="AB88" s="44">
        <v>8846154</v>
      </c>
      <c r="AE88" s="44">
        <v>116213880</v>
      </c>
      <c r="AF88" s="44">
        <v>-1412721</v>
      </c>
      <c r="AG88" s="44">
        <v>-1412721</v>
      </c>
      <c r="AH88" s="44">
        <v>-1412721</v>
      </c>
      <c r="AI88" s="44">
        <v>-1412721</v>
      </c>
      <c r="AJ88" s="44">
        <v>-783140</v>
      </c>
      <c r="AK88" s="44">
        <f t="shared" si="3"/>
        <v>0</v>
      </c>
      <c r="AL88" s="44">
        <f t="shared" si="4"/>
        <v>0</v>
      </c>
      <c r="AM88" s="44">
        <f t="shared" si="5"/>
        <v>21012</v>
      </c>
    </row>
    <row r="89" spans="1:39" hidden="1" x14ac:dyDescent="0.25">
      <c r="A89" t="s">
        <v>521</v>
      </c>
      <c r="B89" t="s">
        <v>355</v>
      </c>
      <c r="C89" t="s">
        <v>521</v>
      </c>
      <c r="D89" t="s">
        <v>521</v>
      </c>
      <c r="E89" t="s">
        <v>522</v>
      </c>
      <c r="F89" t="s">
        <v>26</v>
      </c>
      <c r="G89" t="s">
        <v>523</v>
      </c>
      <c r="H89" t="s">
        <v>33</v>
      </c>
      <c r="I89" t="s">
        <v>524</v>
      </c>
      <c r="J89" t="s">
        <v>524</v>
      </c>
      <c r="K89" t="s">
        <v>524</v>
      </c>
      <c r="L89" t="s">
        <v>363</v>
      </c>
      <c r="M89" t="s">
        <v>533</v>
      </c>
      <c r="N89">
        <v>7938</v>
      </c>
      <c r="O89">
        <v>46</v>
      </c>
      <c r="P89" t="s">
        <v>534</v>
      </c>
      <c r="Q89" s="44">
        <v>86363745</v>
      </c>
      <c r="R89" s="44">
        <v>0</v>
      </c>
      <c r="S89" s="44">
        <v>0</v>
      </c>
      <c r="T89" s="44">
        <v>0</v>
      </c>
      <c r="U89" s="44">
        <v>0</v>
      </c>
      <c r="V89" s="44">
        <v>86363745</v>
      </c>
      <c r="W89" s="44">
        <v>77827488</v>
      </c>
      <c r="X89" s="44">
        <v>77827488</v>
      </c>
      <c r="Y89" s="44">
        <v>8536257</v>
      </c>
      <c r="Z89" s="44">
        <v>77827488</v>
      </c>
      <c r="AA89" s="44">
        <v>0</v>
      </c>
      <c r="AB89" s="44">
        <v>8536257</v>
      </c>
      <c r="AE89" s="44">
        <v>77816948</v>
      </c>
      <c r="AF89" s="44">
        <v>784705</v>
      </c>
      <c r="AG89" s="44">
        <v>784705</v>
      </c>
      <c r="AH89" s="44">
        <v>784705</v>
      </c>
      <c r="AI89" s="44">
        <v>784705</v>
      </c>
      <c r="AJ89" s="44">
        <v>1069137</v>
      </c>
      <c r="AK89" s="44">
        <f t="shared" si="3"/>
        <v>0</v>
      </c>
      <c r="AL89" s="44">
        <f t="shared" si="4"/>
        <v>0</v>
      </c>
      <c r="AM89" s="44">
        <f t="shared" si="5"/>
        <v>10540</v>
      </c>
    </row>
    <row r="90" spans="1:39" hidden="1" x14ac:dyDescent="0.25">
      <c r="A90" t="s">
        <v>521</v>
      </c>
      <c r="B90" t="s">
        <v>355</v>
      </c>
      <c r="C90" t="s">
        <v>521</v>
      </c>
      <c r="D90" t="s">
        <v>521</v>
      </c>
      <c r="E90" t="s">
        <v>522</v>
      </c>
      <c r="F90" t="s">
        <v>26</v>
      </c>
      <c r="G90" t="s">
        <v>523</v>
      </c>
      <c r="H90" t="s">
        <v>33</v>
      </c>
      <c r="I90" t="s">
        <v>524</v>
      </c>
      <c r="J90" t="s">
        <v>524</v>
      </c>
      <c r="K90" t="s">
        <v>524</v>
      </c>
      <c r="L90" t="s">
        <v>363</v>
      </c>
      <c r="M90" t="s">
        <v>535</v>
      </c>
      <c r="N90">
        <v>7939</v>
      </c>
      <c r="O90">
        <v>47</v>
      </c>
      <c r="P90" t="s">
        <v>536</v>
      </c>
      <c r="Q90" s="44">
        <v>273073936</v>
      </c>
      <c r="R90" s="44">
        <v>0</v>
      </c>
      <c r="S90" s="44">
        <v>0</v>
      </c>
      <c r="T90" s="44">
        <v>0</v>
      </c>
      <c r="U90" s="44">
        <v>0</v>
      </c>
      <c r="V90" s="44">
        <v>273073936</v>
      </c>
      <c r="W90" s="44">
        <v>251001407</v>
      </c>
      <c r="X90" s="44">
        <v>251001407</v>
      </c>
      <c r="Y90" s="44">
        <v>22072529</v>
      </c>
      <c r="Z90" s="44">
        <v>251001407</v>
      </c>
      <c r="AA90" s="44">
        <v>0</v>
      </c>
      <c r="AB90" s="44">
        <v>22072529</v>
      </c>
      <c r="AE90" s="44">
        <v>250983298</v>
      </c>
      <c r="AF90" s="44">
        <v>244925542</v>
      </c>
      <c r="AG90" s="44">
        <v>244925542</v>
      </c>
      <c r="AH90" s="44">
        <v>244925542</v>
      </c>
      <c r="AI90" s="44">
        <v>244925542</v>
      </c>
      <c r="AJ90" s="44">
        <v>249142991</v>
      </c>
      <c r="AK90" s="44">
        <f t="shared" si="3"/>
        <v>0</v>
      </c>
      <c r="AL90" s="44">
        <f t="shared" si="4"/>
        <v>0</v>
      </c>
      <c r="AM90" s="44">
        <f t="shared" si="5"/>
        <v>18109</v>
      </c>
    </row>
    <row r="91" spans="1:39" hidden="1" x14ac:dyDescent="0.25">
      <c r="A91" t="s">
        <v>521</v>
      </c>
      <c r="B91" t="s">
        <v>355</v>
      </c>
      <c r="C91" t="s">
        <v>521</v>
      </c>
      <c r="D91" t="s">
        <v>521</v>
      </c>
      <c r="E91" t="s">
        <v>522</v>
      </c>
      <c r="F91" t="s">
        <v>26</v>
      </c>
      <c r="G91" t="s">
        <v>523</v>
      </c>
      <c r="H91" t="s">
        <v>33</v>
      </c>
      <c r="I91" t="s">
        <v>524</v>
      </c>
      <c r="J91" t="s">
        <v>524</v>
      </c>
      <c r="K91" t="s">
        <v>524</v>
      </c>
      <c r="L91" t="s">
        <v>363</v>
      </c>
      <c r="M91" t="s">
        <v>537</v>
      </c>
      <c r="N91">
        <v>7940</v>
      </c>
      <c r="O91">
        <v>48</v>
      </c>
      <c r="P91" t="s">
        <v>538</v>
      </c>
      <c r="Q91" s="44">
        <v>153771113</v>
      </c>
      <c r="R91" s="44">
        <v>0</v>
      </c>
      <c r="S91" s="44">
        <v>0</v>
      </c>
      <c r="T91" s="44">
        <v>0</v>
      </c>
      <c r="U91" s="44">
        <v>0</v>
      </c>
      <c r="V91" s="44">
        <v>153771113</v>
      </c>
      <c r="W91" s="44">
        <v>125956486</v>
      </c>
      <c r="X91" s="44">
        <v>125956486</v>
      </c>
      <c r="Y91" s="44">
        <v>27814627</v>
      </c>
      <c r="Z91" s="44">
        <v>125956486</v>
      </c>
      <c r="AA91" s="44">
        <v>0</v>
      </c>
      <c r="AB91" s="44">
        <v>27814627</v>
      </c>
      <c r="AE91" s="44">
        <v>125941428</v>
      </c>
      <c r="AF91" s="44">
        <v>13660874</v>
      </c>
      <c r="AG91" s="44">
        <v>13660874</v>
      </c>
      <c r="AH91" s="44">
        <v>13660874</v>
      </c>
      <c r="AI91" s="44">
        <v>13660874</v>
      </c>
      <c r="AJ91" s="44">
        <v>14097609</v>
      </c>
      <c r="AK91" s="44">
        <f t="shared" si="3"/>
        <v>0</v>
      </c>
      <c r="AL91" s="44">
        <f t="shared" si="4"/>
        <v>0</v>
      </c>
      <c r="AM91" s="44">
        <f t="shared" si="5"/>
        <v>15058</v>
      </c>
    </row>
    <row r="92" spans="1:39" hidden="1" x14ac:dyDescent="0.25">
      <c r="A92" t="s">
        <v>521</v>
      </c>
      <c r="B92" t="s">
        <v>355</v>
      </c>
      <c r="C92" t="s">
        <v>521</v>
      </c>
      <c r="D92" t="s">
        <v>521</v>
      </c>
      <c r="E92" t="s">
        <v>522</v>
      </c>
      <c r="F92" t="s">
        <v>26</v>
      </c>
      <c r="G92" t="s">
        <v>523</v>
      </c>
      <c r="H92" t="s">
        <v>33</v>
      </c>
      <c r="I92" t="s">
        <v>524</v>
      </c>
      <c r="J92" t="s">
        <v>524</v>
      </c>
      <c r="K92" t="s">
        <v>524</v>
      </c>
      <c r="L92" t="s">
        <v>363</v>
      </c>
      <c r="M92" t="s">
        <v>539</v>
      </c>
      <c r="N92">
        <v>7941</v>
      </c>
      <c r="O92">
        <v>49</v>
      </c>
      <c r="P92" t="s">
        <v>540</v>
      </c>
      <c r="Q92" s="44">
        <v>388950420</v>
      </c>
      <c r="R92" s="44">
        <v>0</v>
      </c>
      <c r="S92" s="44">
        <v>0</v>
      </c>
      <c r="T92" s="44">
        <v>0</v>
      </c>
      <c r="U92" s="44">
        <v>0</v>
      </c>
      <c r="V92" s="44">
        <v>388950420</v>
      </c>
      <c r="W92" s="44">
        <v>335380139</v>
      </c>
      <c r="X92" s="44">
        <v>335380139</v>
      </c>
      <c r="Y92" s="44">
        <v>53570281</v>
      </c>
      <c r="Z92" s="44">
        <v>335380139</v>
      </c>
      <c r="AA92" s="44">
        <v>0</v>
      </c>
      <c r="AB92" s="44">
        <v>53570281</v>
      </c>
      <c r="AE92" s="44">
        <v>335380139</v>
      </c>
      <c r="AF92" s="44">
        <v>27188968</v>
      </c>
      <c r="AG92" s="44">
        <v>27188968</v>
      </c>
      <c r="AH92" s="44">
        <v>27188968</v>
      </c>
      <c r="AI92" s="44">
        <v>27188968</v>
      </c>
      <c r="AJ92" s="44">
        <v>55199068</v>
      </c>
      <c r="AK92" s="44">
        <f t="shared" si="3"/>
        <v>0</v>
      </c>
      <c r="AL92" s="44">
        <f t="shared" si="4"/>
        <v>0</v>
      </c>
      <c r="AM92" s="44">
        <f t="shared" si="5"/>
        <v>0</v>
      </c>
    </row>
    <row r="93" spans="1:39" hidden="1" x14ac:dyDescent="0.25">
      <c r="A93" t="s">
        <v>521</v>
      </c>
      <c r="B93" t="s">
        <v>355</v>
      </c>
      <c r="C93" t="s">
        <v>521</v>
      </c>
      <c r="D93" t="s">
        <v>521</v>
      </c>
      <c r="E93" t="s">
        <v>522</v>
      </c>
      <c r="F93" t="s">
        <v>26</v>
      </c>
      <c r="G93" t="s">
        <v>523</v>
      </c>
      <c r="H93" t="s">
        <v>33</v>
      </c>
      <c r="I93" t="s">
        <v>524</v>
      </c>
      <c r="J93" t="s">
        <v>524</v>
      </c>
      <c r="K93" t="s">
        <v>524</v>
      </c>
      <c r="L93" t="s">
        <v>363</v>
      </c>
      <c r="M93" t="s">
        <v>541</v>
      </c>
      <c r="N93">
        <v>7942</v>
      </c>
      <c r="O93">
        <v>50</v>
      </c>
      <c r="P93" t="s">
        <v>542</v>
      </c>
      <c r="Q93" s="44">
        <v>275506548</v>
      </c>
      <c r="R93" s="44">
        <v>0</v>
      </c>
      <c r="S93" s="44">
        <v>0</v>
      </c>
      <c r="T93" s="44">
        <v>0</v>
      </c>
      <c r="U93" s="44">
        <v>0</v>
      </c>
      <c r="V93" s="44">
        <v>275506548</v>
      </c>
      <c r="W93" s="44">
        <v>237576175</v>
      </c>
      <c r="X93" s="44">
        <v>237576175</v>
      </c>
      <c r="Y93" s="44">
        <v>37930373</v>
      </c>
      <c r="Z93" s="44">
        <v>237576175</v>
      </c>
      <c r="AA93" s="44">
        <v>0</v>
      </c>
      <c r="AB93" s="44">
        <v>37930373</v>
      </c>
      <c r="AE93" s="44">
        <v>237576175</v>
      </c>
      <c r="AF93" s="44">
        <v>19259412</v>
      </c>
      <c r="AG93" s="44">
        <v>19259412</v>
      </c>
      <c r="AH93" s="44">
        <v>19259412</v>
      </c>
      <c r="AI93" s="44">
        <v>19259412</v>
      </c>
      <c r="AJ93" s="44">
        <v>39100912</v>
      </c>
      <c r="AK93" s="44">
        <f t="shared" si="3"/>
        <v>0</v>
      </c>
      <c r="AL93" s="44">
        <f t="shared" si="4"/>
        <v>0</v>
      </c>
      <c r="AM93" s="44">
        <f t="shared" si="5"/>
        <v>0</v>
      </c>
    </row>
    <row r="94" spans="1:39" hidden="1" x14ac:dyDescent="0.25">
      <c r="A94" t="s">
        <v>521</v>
      </c>
      <c r="B94" t="s">
        <v>355</v>
      </c>
      <c r="C94" t="s">
        <v>521</v>
      </c>
      <c r="D94" t="s">
        <v>521</v>
      </c>
      <c r="E94" t="s">
        <v>522</v>
      </c>
      <c r="F94" t="s">
        <v>26</v>
      </c>
      <c r="G94" t="s">
        <v>523</v>
      </c>
      <c r="H94" t="s">
        <v>33</v>
      </c>
      <c r="I94" t="s">
        <v>524</v>
      </c>
      <c r="J94" t="s">
        <v>524</v>
      </c>
      <c r="K94" t="s">
        <v>524</v>
      </c>
      <c r="L94" t="s">
        <v>363</v>
      </c>
      <c r="M94" t="s">
        <v>543</v>
      </c>
      <c r="N94">
        <v>7943</v>
      </c>
      <c r="O94">
        <v>51</v>
      </c>
      <c r="P94" t="s">
        <v>544</v>
      </c>
      <c r="Q94" s="44">
        <v>263138813</v>
      </c>
      <c r="R94" s="44">
        <v>0</v>
      </c>
      <c r="S94" s="44">
        <v>0</v>
      </c>
      <c r="T94" s="44">
        <v>0</v>
      </c>
      <c r="U94" s="44">
        <v>0</v>
      </c>
      <c r="V94" s="44">
        <v>263138813</v>
      </c>
      <c r="W94" s="44">
        <v>263138813</v>
      </c>
      <c r="X94" s="44">
        <v>263138813</v>
      </c>
      <c r="Y94" s="44">
        <v>0</v>
      </c>
      <c r="Z94" s="44">
        <v>263138813</v>
      </c>
      <c r="AA94" s="44">
        <v>0</v>
      </c>
      <c r="AB94" s="44">
        <v>0</v>
      </c>
      <c r="AE94" s="44">
        <v>0</v>
      </c>
      <c r="AF94" s="44">
        <v>263138813</v>
      </c>
      <c r="AG94" s="44">
        <v>263138813</v>
      </c>
      <c r="AH94" s="44">
        <v>263138813</v>
      </c>
      <c r="AI94" s="44">
        <v>263138813</v>
      </c>
      <c r="AJ94" s="44">
        <v>0</v>
      </c>
      <c r="AK94" s="44">
        <f t="shared" si="3"/>
        <v>0</v>
      </c>
      <c r="AL94" s="44">
        <f t="shared" si="4"/>
        <v>0</v>
      </c>
      <c r="AM94" s="44">
        <f t="shared" si="5"/>
        <v>263138813</v>
      </c>
    </row>
    <row r="95" spans="1:39" hidden="1" x14ac:dyDescent="0.25">
      <c r="A95" t="s">
        <v>521</v>
      </c>
      <c r="B95" t="s">
        <v>355</v>
      </c>
      <c r="C95" t="s">
        <v>521</v>
      </c>
      <c r="D95" t="s">
        <v>521</v>
      </c>
      <c r="E95" t="s">
        <v>522</v>
      </c>
      <c r="F95" t="s">
        <v>26</v>
      </c>
      <c r="G95" t="s">
        <v>523</v>
      </c>
      <c r="H95" t="s">
        <v>33</v>
      </c>
      <c r="I95" t="s">
        <v>524</v>
      </c>
      <c r="J95" t="s">
        <v>524</v>
      </c>
      <c r="K95" t="s">
        <v>524</v>
      </c>
      <c r="L95" t="s">
        <v>363</v>
      </c>
      <c r="M95" t="s">
        <v>545</v>
      </c>
      <c r="N95">
        <v>7944</v>
      </c>
      <c r="O95">
        <v>52</v>
      </c>
      <c r="P95" t="s">
        <v>546</v>
      </c>
      <c r="Q95" s="44">
        <v>139546403</v>
      </c>
      <c r="R95" s="44">
        <v>0</v>
      </c>
      <c r="S95" s="44">
        <v>0</v>
      </c>
      <c r="T95" s="44">
        <v>0</v>
      </c>
      <c r="U95" s="44">
        <v>0</v>
      </c>
      <c r="V95" s="44">
        <v>139546403</v>
      </c>
      <c r="W95" s="44">
        <v>120732700</v>
      </c>
      <c r="X95" s="44">
        <v>120732700</v>
      </c>
      <c r="Y95" s="44">
        <v>18813703</v>
      </c>
      <c r="Z95" s="44">
        <v>120732700</v>
      </c>
      <c r="AA95" s="44">
        <v>0</v>
      </c>
      <c r="AB95" s="44">
        <v>18813703</v>
      </c>
      <c r="AE95" s="44">
        <v>120732700</v>
      </c>
      <c r="AF95" s="44">
        <v>9525000</v>
      </c>
      <c r="AG95" s="44">
        <v>9525000</v>
      </c>
      <c r="AH95" s="44">
        <v>9525000</v>
      </c>
      <c r="AI95" s="44">
        <v>9525000</v>
      </c>
      <c r="AJ95" s="44">
        <v>19306800</v>
      </c>
      <c r="AK95" s="44">
        <f t="shared" si="3"/>
        <v>0</v>
      </c>
      <c r="AL95" s="44">
        <f t="shared" si="4"/>
        <v>0</v>
      </c>
      <c r="AM95" s="44">
        <f t="shared" si="5"/>
        <v>0</v>
      </c>
    </row>
    <row r="96" spans="1:39" hidden="1" x14ac:dyDescent="0.25">
      <c r="A96" t="s">
        <v>521</v>
      </c>
      <c r="B96" t="s">
        <v>355</v>
      </c>
      <c r="C96" t="s">
        <v>521</v>
      </c>
      <c r="D96" t="s">
        <v>521</v>
      </c>
      <c r="E96" t="s">
        <v>522</v>
      </c>
      <c r="F96" t="s">
        <v>26</v>
      </c>
      <c r="G96" t="s">
        <v>523</v>
      </c>
      <c r="H96" t="s">
        <v>33</v>
      </c>
      <c r="I96" t="s">
        <v>524</v>
      </c>
      <c r="J96" t="s">
        <v>524</v>
      </c>
      <c r="K96" t="s">
        <v>524</v>
      </c>
      <c r="L96" t="s">
        <v>363</v>
      </c>
      <c r="M96" t="s">
        <v>547</v>
      </c>
      <c r="N96">
        <v>7945</v>
      </c>
      <c r="O96">
        <v>53</v>
      </c>
      <c r="P96" t="s">
        <v>548</v>
      </c>
      <c r="Q96" s="44">
        <v>78956935</v>
      </c>
      <c r="R96" s="44">
        <v>0</v>
      </c>
      <c r="S96" s="44">
        <v>0</v>
      </c>
      <c r="T96" s="44">
        <v>0</v>
      </c>
      <c r="U96" s="44">
        <v>0</v>
      </c>
      <c r="V96" s="44">
        <v>78956935</v>
      </c>
      <c r="W96" s="44">
        <v>62620000</v>
      </c>
      <c r="X96" s="44">
        <v>62620000</v>
      </c>
      <c r="Y96" s="44">
        <v>16336935</v>
      </c>
      <c r="Z96" s="44">
        <v>62620000</v>
      </c>
      <c r="AA96" s="44">
        <v>0</v>
      </c>
      <c r="AB96" s="44">
        <v>16336935</v>
      </c>
      <c r="AE96" s="44">
        <v>62620000</v>
      </c>
      <c r="AF96" s="44">
        <v>4812700</v>
      </c>
      <c r="AG96" s="44">
        <v>4812700</v>
      </c>
      <c r="AH96" s="44">
        <v>4812700</v>
      </c>
      <c r="AI96" s="44">
        <v>4812700</v>
      </c>
      <c r="AJ96" s="44">
        <v>10018000</v>
      </c>
      <c r="AK96" s="44">
        <f t="shared" si="3"/>
        <v>0</v>
      </c>
      <c r="AL96" s="44">
        <f t="shared" si="4"/>
        <v>0</v>
      </c>
      <c r="AM96" s="44">
        <f t="shared" si="5"/>
        <v>0</v>
      </c>
    </row>
    <row r="97" spans="1:39" hidden="1" x14ac:dyDescent="0.25">
      <c r="A97" t="s">
        <v>521</v>
      </c>
      <c r="B97" t="s">
        <v>355</v>
      </c>
      <c r="C97" t="s">
        <v>521</v>
      </c>
      <c r="D97" t="s">
        <v>521</v>
      </c>
      <c r="E97" t="s">
        <v>522</v>
      </c>
      <c r="F97" t="s">
        <v>26</v>
      </c>
      <c r="G97" t="s">
        <v>523</v>
      </c>
      <c r="H97" t="s">
        <v>33</v>
      </c>
      <c r="I97" t="s">
        <v>524</v>
      </c>
      <c r="J97" t="s">
        <v>524</v>
      </c>
      <c r="K97" t="s">
        <v>524</v>
      </c>
      <c r="L97" t="s">
        <v>363</v>
      </c>
      <c r="M97" t="s">
        <v>549</v>
      </c>
      <c r="N97">
        <v>7946</v>
      </c>
      <c r="O97">
        <v>54</v>
      </c>
      <c r="P97" t="s">
        <v>550</v>
      </c>
      <c r="Q97" s="44">
        <v>104659802</v>
      </c>
      <c r="R97" s="44">
        <v>0</v>
      </c>
      <c r="S97" s="44">
        <v>0</v>
      </c>
      <c r="T97" s="44">
        <v>0</v>
      </c>
      <c r="U97" s="44">
        <v>0</v>
      </c>
      <c r="V97" s="44">
        <v>104659802</v>
      </c>
      <c r="W97" s="44">
        <v>90562200</v>
      </c>
      <c r="X97" s="44">
        <v>90562200</v>
      </c>
      <c r="Y97" s="44">
        <v>14097602</v>
      </c>
      <c r="Z97" s="44">
        <v>90562200</v>
      </c>
      <c r="AA97" s="44">
        <v>0</v>
      </c>
      <c r="AB97" s="44">
        <v>14097602</v>
      </c>
      <c r="AE97" s="44">
        <v>90562200</v>
      </c>
      <c r="AF97" s="44">
        <v>7146000</v>
      </c>
      <c r="AG97" s="44">
        <v>7146000</v>
      </c>
      <c r="AH97" s="44">
        <v>7146000</v>
      </c>
      <c r="AI97" s="44">
        <v>7146000</v>
      </c>
      <c r="AJ97" s="44">
        <v>14482400</v>
      </c>
      <c r="AK97" s="44">
        <f t="shared" si="3"/>
        <v>0</v>
      </c>
      <c r="AL97" s="44">
        <f t="shared" si="4"/>
        <v>0</v>
      </c>
      <c r="AM97" s="44">
        <f t="shared" si="5"/>
        <v>0</v>
      </c>
    </row>
    <row r="98" spans="1:39" hidden="1" x14ac:dyDescent="0.25">
      <c r="A98" t="s">
        <v>521</v>
      </c>
      <c r="B98" t="s">
        <v>355</v>
      </c>
      <c r="C98" t="s">
        <v>521</v>
      </c>
      <c r="D98" t="s">
        <v>521</v>
      </c>
      <c r="E98" t="s">
        <v>522</v>
      </c>
      <c r="F98" t="s">
        <v>26</v>
      </c>
      <c r="G98" t="s">
        <v>523</v>
      </c>
      <c r="H98" t="s">
        <v>33</v>
      </c>
      <c r="I98" t="s">
        <v>524</v>
      </c>
      <c r="J98" t="s">
        <v>524</v>
      </c>
      <c r="K98" t="s">
        <v>524</v>
      </c>
      <c r="L98" t="s">
        <v>363</v>
      </c>
      <c r="M98" t="s">
        <v>551</v>
      </c>
      <c r="N98">
        <v>7947</v>
      </c>
      <c r="O98">
        <v>55</v>
      </c>
      <c r="P98" t="s">
        <v>552</v>
      </c>
      <c r="Q98" s="44">
        <v>69773202</v>
      </c>
      <c r="R98" s="44">
        <v>0</v>
      </c>
      <c r="S98" s="44">
        <v>0</v>
      </c>
      <c r="T98" s="44">
        <v>0</v>
      </c>
      <c r="U98" s="44">
        <v>0</v>
      </c>
      <c r="V98" s="44">
        <v>69773202</v>
      </c>
      <c r="W98" s="44">
        <v>60385100</v>
      </c>
      <c r="X98" s="44">
        <v>60385100</v>
      </c>
      <c r="Y98" s="44">
        <v>9388102</v>
      </c>
      <c r="Z98" s="44">
        <v>60385100</v>
      </c>
      <c r="AA98" s="44">
        <v>0</v>
      </c>
      <c r="AB98" s="44">
        <v>9388102</v>
      </c>
      <c r="AE98" s="44">
        <v>60385100</v>
      </c>
      <c r="AF98" s="44">
        <v>4765400</v>
      </c>
      <c r="AG98" s="44">
        <v>4765400</v>
      </c>
      <c r="AH98" s="44">
        <v>4765400</v>
      </c>
      <c r="AI98" s="44">
        <v>4765400</v>
      </c>
      <c r="AJ98" s="44">
        <v>9658200</v>
      </c>
      <c r="AK98" s="44">
        <f t="shared" si="3"/>
        <v>0</v>
      </c>
      <c r="AL98" s="44">
        <f t="shared" si="4"/>
        <v>0</v>
      </c>
      <c r="AM98" s="44">
        <f t="shared" si="5"/>
        <v>0</v>
      </c>
    </row>
    <row r="99" spans="1:39" hidden="1" x14ac:dyDescent="0.25">
      <c r="A99" t="s">
        <v>521</v>
      </c>
      <c r="B99" t="s">
        <v>355</v>
      </c>
      <c r="C99" t="s">
        <v>521</v>
      </c>
      <c r="D99" t="s">
        <v>521</v>
      </c>
      <c r="E99" t="s">
        <v>522</v>
      </c>
      <c r="F99" t="s">
        <v>26</v>
      </c>
      <c r="G99" t="s">
        <v>523</v>
      </c>
      <c r="H99" t="s">
        <v>33</v>
      </c>
      <c r="I99" t="s">
        <v>524</v>
      </c>
      <c r="J99" t="s">
        <v>524</v>
      </c>
      <c r="K99" t="s">
        <v>524</v>
      </c>
      <c r="L99" t="s">
        <v>363</v>
      </c>
      <c r="M99" t="s">
        <v>553</v>
      </c>
      <c r="N99">
        <v>7948</v>
      </c>
      <c r="O99">
        <v>56</v>
      </c>
      <c r="P99" t="s">
        <v>554</v>
      </c>
      <c r="Q99" s="44">
        <v>174462375</v>
      </c>
      <c r="R99" s="44">
        <v>0</v>
      </c>
      <c r="S99" s="44">
        <v>0</v>
      </c>
      <c r="T99" s="44">
        <v>0</v>
      </c>
      <c r="U99" s="44">
        <v>0</v>
      </c>
      <c r="V99" s="44">
        <v>174462375</v>
      </c>
      <c r="W99" s="44">
        <v>170098212</v>
      </c>
      <c r="X99" s="44">
        <v>170098212</v>
      </c>
      <c r="Y99" s="44">
        <v>4364163</v>
      </c>
      <c r="Z99" s="44">
        <v>170098212</v>
      </c>
      <c r="AA99" s="44">
        <v>0</v>
      </c>
      <c r="AB99" s="44">
        <v>4364163</v>
      </c>
      <c r="AE99" s="44">
        <v>170074886</v>
      </c>
      <c r="AF99" s="44">
        <v>10660364</v>
      </c>
      <c r="AG99" s="44">
        <v>10660364</v>
      </c>
      <c r="AH99" s="44">
        <v>10660364</v>
      </c>
      <c r="AI99" s="44">
        <v>10660364</v>
      </c>
      <c r="AJ99" s="44">
        <v>11450265</v>
      </c>
      <c r="AK99" s="44">
        <f t="shared" si="3"/>
        <v>0</v>
      </c>
      <c r="AL99" s="44">
        <f t="shared" si="4"/>
        <v>0</v>
      </c>
      <c r="AM99" s="44">
        <f t="shared" si="5"/>
        <v>23326</v>
      </c>
    </row>
    <row r="100" spans="1:39" hidden="1" x14ac:dyDescent="0.25">
      <c r="A100" t="s">
        <v>521</v>
      </c>
      <c r="B100" t="s">
        <v>355</v>
      </c>
      <c r="C100" t="s">
        <v>521</v>
      </c>
      <c r="D100" t="s">
        <v>521</v>
      </c>
      <c r="E100" t="s">
        <v>522</v>
      </c>
      <c r="F100" t="s">
        <v>26</v>
      </c>
      <c r="G100" t="s">
        <v>523</v>
      </c>
      <c r="H100" t="s">
        <v>33</v>
      </c>
      <c r="I100" t="s">
        <v>524</v>
      </c>
      <c r="J100" t="s">
        <v>524</v>
      </c>
      <c r="K100" t="s">
        <v>524</v>
      </c>
      <c r="L100" t="s">
        <v>363</v>
      </c>
      <c r="M100" t="s">
        <v>555</v>
      </c>
      <c r="N100">
        <v>7949</v>
      </c>
      <c r="O100">
        <v>57</v>
      </c>
      <c r="P100" t="s">
        <v>556</v>
      </c>
      <c r="Q100" s="44">
        <v>7000000</v>
      </c>
      <c r="R100" s="44">
        <v>0</v>
      </c>
      <c r="S100" s="44">
        <v>0</v>
      </c>
      <c r="T100" s="44">
        <v>0</v>
      </c>
      <c r="U100" s="44">
        <v>0</v>
      </c>
      <c r="V100" s="44">
        <v>7000000</v>
      </c>
      <c r="W100" s="44">
        <v>0</v>
      </c>
      <c r="X100" s="44">
        <v>0</v>
      </c>
      <c r="Y100" s="44">
        <v>7000000</v>
      </c>
      <c r="Z100" s="44">
        <v>0</v>
      </c>
      <c r="AA100" s="44">
        <v>0</v>
      </c>
      <c r="AB100" s="44">
        <v>7000000</v>
      </c>
      <c r="AE100" s="44">
        <v>0</v>
      </c>
      <c r="AF100" s="44">
        <v>0</v>
      </c>
      <c r="AG100" s="44">
        <v>0</v>
      </c>
      <c r="AH100" s="44">
        <v>0</v>
      </c>
      <c r="AI100" s="44">
        <v>0</v>
      </c>
      <c r="AJ100" s="44">
        <v>0</v>
      </c>
      <c r="AK100" s="44">
        <f t="shared" si="3"/>
        <v>0</v>
      </c>
      <c r="AL100" s="44">
        <f t="shared" si="4"/>
        <v>0</v>
      </c>
      <c r="AM100" s="44">
        <f t="shared" si="5"/>
        <v>0</v>
      </c>
    </row>
    <row r="101" spans="1:39" hidden="1" x14ac:dyDescent="0.25">
      <c r="A101" t="s">
        <v>521</v>
      </c>
      <c r="B101" t="s">
        <v>355</v>
      </c>
      <c r="C101" t="s">
        <v>521</v>
      </c>
      <c r="D101" t="s">
        <v>521</v>
      </c>
      <c r="E101" t="s">
        <v>522</v>
      </c>
      <c r="F101" t="s">
        <v>26</v>
      </c>
      <c r="G101" t="s">
        <v>523</v>
      </c>
      <c r="H101" t="s">
        <v>33</v>
      </c>
      <c r="I101" t="s">
        <v>524</v>
      </c>
      <c r="J101" t="s">
        <v>524</v>
      </c>
      <c r="K101" t="s">
        <v>524</v>
      </c>
      <c r="L101" t="s">
        <v>363</v>
      </c>
      <c r="M101" t="s">
        <v>557</v>
      </c>
      <c r="N101">
        <v>7950</v>
      </c>
      <c r="O101">
        <v>58</v>
      </c>
      <c r="P101" t="s">
        <v>558</v>
      </c>
      <c r="Q101" s="44">
        <v>34793758</v>
      </c>
      <c r="R101" s="44">
        <v>0</v>
      </c>
      <c r="S101" s="44">
        <v>0</v>
      </c>
      <c r="T101" s="44">
        <v>0</v>
      </c>
      <c r="U101" s="44">
        <v>0</v>
      </c>
      <c r="V101" s="44">
        <v>34793758</v>
      </c>
      <c r="W101" s="44">
        <v>15751840</v>
      </c>
      <c r="X101" s="44">
        <v>15751840</v>
      </c>
      <c r="Y101" s="44">
        <v>19041918</v>
      </c>
      <c r="Z101" s="44">
        <v>15751840</v>
      </c>
      <c r="AA101" s="44">
        <v>0</v>
      </c>
      <c r="AB101" s="44">
        <v>19041918</v>
      </c>
      <c r="AE101" s="44">
        <v>15749832</v>
      </c>
      <c r="AF101" s="44">
        <v>1699168</v>
      </c>
      <c r="AG101" s="44">
        <v>1699168</v>
      </c>
      <c r="AH101" s="44">
        <v>1699168</v>
      </c>
      <c r="AI101" s="44">
        <v>1699168</v>
      </c>
      <c r="AJ101" s="44">
        <v>1753345</v>
      </c>
      <c r="AK101" s="44">
        <f t="shared" si="3"/>
        <v>0</v>
      </c>
      <c r="AL101" s="44">
        <f t="shared" si="4"/>
        <v>0</v>
      </c>
      <c r="AM101" s="44">
        <f t="shared" si="5"/>
        <v>2008</v>
      </c>
    </row>
    <row r="102" spans="1:39" hidden="1" x14ac:dyDescent="0.25">
      <c r="A102" t="s">
        <v>521</v>
      </c>
      <c r="B102" t="s">
        <v>355</v>
      </c>
      <c r="C102" t="s">
        <v>521</v>
      </c>
      <c r="D102" t="s">
        <v>521</v>
      </c>
      <c r="E102" t="s">
        <v>522</v>
      </c>
      <c r="F102" t="s">
        <v>26</v>
      </c>
      <c r="G102" t="s">
        <v>523</v>
      </c>
      <c r="H102" t="s">
        <v>33</v>
      </c>
      <c r="I102" t="s">
        <v>524</v>
      </c>
      <c r="J102" t="s">
        <v>524</v>
      </c>
      <c r="K102" t="s">
        <v>524</v>
      </c>
      <c r="L102" t="s">
        <v>363</v>
      </c>
      <c r="M102" t="s">
        <v>559</v>
      </c>
      <c r="N102">
        <v>7951</v>
      </c>
      <c r="O102">
        <v>59</v>
      </c>
      <c r="P102" t="s">
        <v>560</v>
      </c>
      <c r="Q102" s="44">
        <v>53560000</v>
      </c>
      <c r="R102" s="44">
        <v>0</v>
      </c>
      <c r="S102" s="44">
        <v>0</v>
      </c>
      <c r="T102" s="44">
        <v>30000000</v>
      </c>
      <c r="U102" s="44">
        <v>0</v>
      </c>
      <c r="V102" s="44">
        <v>83560000</v>
      </c>
      <c r="W102" s="44">
        <v>61172396</v>
      </c>
      <c r="X102" s="44">
        <v>61172396</v>
      </c>
      <c r="Y102" s="44">
        <v>22387604</v>
      </c>
      <c r="Z102" s="44">
        <v>61172396</v>
      </c>
      <c r="AA102" s="44">
        <v>0</v>
      </c>
      <c r="AB102" s="44">
        <v>22387604</v>
      </c>
      <c r="AE102" s="44">
        <v>31767315</v>
      </c>
      <c r="AF102" s="44">
        <v>30586969</v>
      </c>
      <c r="AG102" s="44">
        <v>22697982</v>
      </c>
      <c r="AH102" s="44" t="s">
        <v>256</v>
      </c>
      <c r="AI102" s="44">
        <v>30586969</v>
      </c>
      <c r="AJ102" s="44">
        <v>7415409</v>
      </c>
      <c r="AK102" s="44">
        <f t="shared" si="3"/>
        <v>0</v>
      </c>
      <c r="AL102" s="44">
        <f t="shared" si="4"/>
        <v>0</v>
      </c>
      <c r="AM102" s="44">
        <f t="shared" si="5"/>
        <v>29405081</v>
      </c>
    </row>
    <row r="103" spans="1:39" hidden="1" x14ac:dyDescent="0.25">
      <c r="A103" t="s">
        <v>521</v>
      </c>
      <c r="B103" t="s">
        <v>355</v>
      </c>
      <c r="C103" t="s">
        <v>521</v>
      </c>
      <c r="D103" t="s">
        <v>521</v>
      </c>
      <c r="E103" t="s">
        <v>522</v>
      </c>
      <c r="F103" t="s">
        <v>26</v>
      </c>
      <c r="G103" t="s">
        <v>523</v>
      </c>
      <c r="H103" t="s">
        <v>33</v>
      </c>
      <c r="I103" t="s">
        <v>524</v>
      </c>
      <c r="J103" t="s">
        <v>524</v>
      </c>
      <c r="K103" t="s">
        <v>524</v>
      </c>
      <c r="L103" t="s">
        <v>363</v>
      </c>
      <c r="M103" t="s">
        <v>561</v>
      </c>
      <c r="N103">
        <v>7952</v>
      </c>
      <c r="O103">
        <v>60</v>
      </c>
      <c r="P103" t="s">
        <v>562</v>
      </c>
      <c r="Q103" s="44">
        <v>72100000</v>
      </c>
      <c r="R103" s="44">
        <v>0</v>
      </c>
      <c r="S103" s="44">
        <v>0</v>
      </c>
      <c r="T103" s="44">
        <v>70000000</v>
      </c>
      <c r="U103" s="44">
        <v>0</v>
      </c>
      <c r="V103" s="44">
        <v>142100000</v>
      </c>
      <c r="W103" s="44">
        <v>107556455</v>
      </c>
      <c r="X103" s="44">
        <v>107556455</v>
      </c>
      <c r="Y103" s="44">
        <v>34543545</v>
      </c>
      <c r="Z103" s="44">
        <v>107556455</v>
      </c>
      <c r="AA103" s="44">
        <v>0</v>
      </c>
      <c r="AB103" s="44">
        <v>34543545</v>
      </c>
      <c r="AE103" s="44">
        <v>107556455</v>
      </c>
      <c r="AF103" s="44">
        <v>5970250</v>
      </c>
      <c r="AG103" s="44">
        <v>-6221040</v>
      </c>
      <c r="AH103" s="44">
        <v>4213925</v>
      </c>
      <c r="AI103" s="44">
        <v>5970250</v>
      </c>
      <c r="AJ103" s="44">
        <v>7026700</v>
      </c>
      <c r="AK103" s="44">
        <f t="shared" si="3"/>
        <v>0</v>
      </c>
      <c r="AL103" s="44">
        <f t="shared" si="4"/>
        <v>0</v>
      </c>
      <c r="AM103" s="44">
        <f t="shared" si="5"/>
        <v>0</v>
      </c>
    </row>
    <row r="104" spans="1:39" hidden="1" x14ac:dyDescent="0.25">
      <c r="A104" t="s">
        <v>521</v>
      </c>
      <c r="B104" t="s">
        <v>355</v>
      </c>
      <c r="C104" t="s">
        <v>521</v>
      </c>
      <c r="D104" t="s">
        <v>521</v>
      </c>
      <c r="E104" t="s">
        <v>522</v>
      </c>
      <c r="F104" t="s">
        <v>26</v>
      </c>
      <c r="G104" t="s">
        <v>523</v>
      </c>
      <c r="H104" t="s">
        <v>33</v>
      </c>
      <c r="I104" t="s">
        <v>524</v>
      </c>
      <c r="J104" t="s">
        <v>524</v>
      </c>
      <c r="K104" t="s">
        <v>524</v>
      </c>
      <c r="L104" t="s">
        <v>363</v>
      </c>
      <c r="M104" t="s">
        <v>563</v>
      </c>
      <c r="N104">
        <v>7953</v>
      </c>
      <c r="O104">
        <v>61</v>
      </c>
      <c r="P104" t="s">
        <v>564</v>
      </c>
      <c r="Q104" s="44">
        <v>303850000</v>
      </c>
      <c r="R104" s="44">
        <v>0</v>
      </c>
      <c r="S104" s="44">
        <v>0</v>
      </c>
      <c r="T104" s="44">
        <v>19100000</v>
      </c>
      <c r="U104" s="44">
        <v>0</v>
      </c>
      <c r="V104" s="44">
        <v>322950000</v>
      </c>
      <c r="W104" s="44">
        <v>253662368</v>
      </c>
      <c r="X104" s="44">
        <v>253662368</v>
      </c>
      <c r="Y104" s="44">
        <v>69287632</v>
      </c>
      <c r="Z104" s="44">
        <v>253662368</v>
      </c>
      <c r="AA104" s="44">
        <v>0</v>
      </c>
      <c r="AB104" s="44">
        <v>69287632</v>
      </c>
      <c r="AE104" s="44">
        <v>47464016</v>
      </c>
      <c r="AF104" s="44">
        <v>206198352</v>
      </c>
      <c r="AG104" s="44">
        <v>-4993673</v>
      </c>
      <c r="AH104" s="44" t="s">
        <v>256</v>
      </c>
      <c r="AI104" s="44">
        <v>206198352</v>
      </c>
      <c r="AJ104" s="44">
        <v>0</v>
      </c>
      <c r="AK104" s="44">
        <f t="shared" si="3"/>
        <v>0</v>
      </c>
      <c r="AL104" s="44">
        <f t="shared" si="4"/>
        <v>0</v>
      </c>
      <c r="AM104" s="44">
        <f t="shared" si="5"/>
        <v>206198352</v>
      </c>
    </row>
    <row r="105" spans="1:39" hidden="1" x14ac:dyDescent="0.25">
      <c r="A105" t="s">
        <v>521</v>
      </c>
      <c r="B105" t="s">
        <v>355</v>
      </c>
      <c r="C105" t="s">
        <v>521</v>
      </c>
      <c r="D105" t="s">
        <v>521</v>
      </c>
      <c r="E105" t="s">
        <v>522</v>
      </c>
      <c r="F105" t="s">
        <v>26</v>
      </c>
      <c r="G105" t="s">
        <v>523</v>
      </c>
      <c r="H105" t="s">
        <v>33</v>
      </c>
      <c r="I105" t="s">
        <v>524</v>
      </c>
      <c r="J105" t="s">
        <v>524</v>
      </c>
      <c r="K105" t="s">
        <v>524</v>
      </c>
      <c r="L105" t="s">
        <v>363</v>
      </c>
      <c r="M105" t="s">
        <v>565</v>
      </c>
      <c r="N105">
        <v>7954</v>
      </c>
      <c r="O105">
        <v>62</v>
      </c>
      <c r="P105" t="s">
        <v>566</v>
      </c>
      <c r="Q105" s="44">
        <v>3605000</v>
      </c>
      <c r="R105" s="44">
        <v>0</v>
      </c>
      <c r="S105" s="44">
        <v>0</v>
      </c>
      <c r="T105" s="44">
        <v>0</v>
      </c>
      <c r="U105" s="44">
        <v>0</v>
      </c>
      <c r="V105" s="44">
        <v>3605000</v>
      </c>
      <c r="W105" s="44">
        <v>3218154</v>
      </c>
      <c r="X105" s="44">
        <v>3218154</v>
      </c>
      <c r="Y105" s="44">
        <v>386846</v>
      </c>
      <c r="Z105" s="44">
        <v>3218154</v>
      </c>
      <c r="AA105" s="44">
        <v>0</v>
      </c>
      <c r="AB105" s="44">
        <v>386846</v>
      </c>
      <c r="AE105" s="44">
        <v>3218154</v>
      </c>
      <c r="AF105" s="44">
        <v>382874</v>
      </c>
      <c r="AG105" s="44">
        <v>-386846</v>
      </c>
      <c r="AH105" s="44" t="s">
        <v>256</v>
      </c>
      <c r="AI105" s="44">
        <v>382874</v>
      </c>
      <c r="AJ105" s="44">
        <v>382874</v>
      </c>
      <c r="AK105" s="44">
        <f t="shared" si="3"/>
        <v>0</v>
      </c>
      <c r="AL105" s="44">
        <f t="shared" si="4"/>
        <v>0</v>
      </c>
      <c r="AM105" s="44">
        <f t="shared" si="5"/>
        <v>0</v>
      </c>
    </row>
    <row r="106" spans="1:39" hidden="1" x14ac:dyDescent="0.25">
      <c r="A106" t="s">
        <v>521</v>
      </c>
      <c r="B106" t="s">
        <v>355</v>
      </c>
      <c r="C106" t="s">
        <v>521</v>
      </c>
      <c r="D106" t="s">
        <v>521</v>
      </c>
      <c r="E106" t="s">
        <v>522</v>
      </c>
      <c r="F106" t="s">
        <v>26</v>
      </c>
      <c r="G106" t="s">
        <v>523</v>
      </c>
      <c r="H106" t="s">
        <v>33</v>
      </c>
      <c r="I106" t="s">
        <v>524</v>
      </c>
      <c r="J106" t="s">
        <v>524</v>
      </c>
      <c r="K106" t="s">
        <v>524</v>
      </c>
      <c r="L106" t="s">
        <v>363</v>
      </c>
      <c r="M106" t="s">
        <v>567</v>
      </c>
      <c r="N106">
        <v>7955</v>
      </c>
      <c r="O106">
        <v>63</v>
      </c>
      <c r="P106" t="s">
        <v>568</v>
      </c>
      <c r="Q106" s="44">
        <v>63901200</v>
      </c>
      <c r="R106" s="44">
        <v>0</v>
      </c>
      <c r="S106" s="44">
        <v>0</v>
      </c>
      <c r="T106" s="44">
        <v>15000000</v>
      </c>
      <c r="U106" s="44">
        <v>0</v>
      </c>
      <c r="V106" s="44">
        <v>78901200</v>
      </c>
      <c r="W106" s="44">
        <v>41766576</v>
      </c>
      <c r="X106" s="44">
        <v>41766576</v>
      </c>
      <c r="Y106" s="44">
        <v>37134624</v>
      </c>
      <c r="Z106" s="44">
        <v>41766576</v>
      </c>
      <c r="AA106" s="44">
        <v>0</v>
      </c>
      <c r="AB106" s="44">
        <v>37134624</v>
      </c>
      <c r="AE106" s="44">
        <v>7874475</v>
      </c>
      <c r="AF106" s="44">
        <v>34534561</v>
      </c>
      <c r="AG106" s="44">
        <v>-8633451</v>
      </c>
      <c r="AH106" s="44">
        <v>10865302</v>
      </c>
      <c r="AI106" s="44">
        <v>34534561</v>
      </c>
      <c r="AJ106" s="44">
        <v>642460</v>
      </c>
      <c r="AK106" s="44">
        <f t="shared" si="3"/>
        <v>0</v>
      </c>
      <c r="AL106" s="44">
        <f t="shared" si="4"/>
        <v>0</v>
      </c>
      <c r="AM106" s="44">
        <f t="shared" si="5"/>
        <v>33892101</v>
      </c>
    </row>
    <row r="107" spans="1:39" hidden="1" x14ac:dyDescent="0.25">
      <c r="A107" t="s">
        <v>521</v>
      </c>
      <c r="B107" t="s">
        <v>355</v>
      </c>
      <c r="C107" t="s">
        <v>521</v>
      </c>
      <c r="D107" t="s">
        <v>521</v>
      </c>
      <c r="E107" t="s">
        <v>522</v>
      </c>
      <c r="F107" t="s">
        <v>26</v>
      </c>
      <c r="G107" t="s">
        <v>523</v>
      </c>
      <c r="H107" t="s">
        <v>33</v>
      </c>
      <c r="I107" t="s">
        <v>524</v>
      </c>
      <c r="J107" t="s">
        <v>524</v>
      </c>
      <c r="K107" t="s">
        <v>524</v>
      </c>
      <c r="L107" t="s">
        <v>363</v>
      </c>
      <c r="M107" t="s">
        <v>569</v>
      </c>
      <c r="N107">
        <v>7956</v>
      </c>
      <c r="O107">
        <v>64</v>
      </c>
      <c r="P107" t="s">
        <v>570</v>
      </c>
      <c r="Q107" s="44">
        <v>951733136</v>
      </c>
      <c r="R107" s="44">
        <v>0</v>
      </c>
      <c r="S107" s="44">
        <v>0</v>
      </c>
      <c r="T107" s="44">
        <v>0</v>
      </c>
      <c r="U107" s="44">
        <v>45000000</v>
      </c>
      <c r="V107" s="44">
        <v>906733136</v>
      </c>
      <c r="W107" s="44">
        <v>733359332</v>
      </c>
      <c r="X107" s="44">
        <v>733359332</v>
      </c>
      <c r="Y107" s="44">
        <v>173373804</v>
      </c>
      <c r="Z107" s="44">
        <v>733359332</v>
      </c>
      <c r="AA107" s="44">
        <v>0</v>
      </c>
      <c r="AB107" s="44">
        <v>173373804</v>
      </c>
      <c r="AE107" s="44">
        <v>733359332</v>
      </c>
      <c r="AF107" s="44">
        <v>139250690</v>
      </c>
      <c r="AG107" s="44">
        <v>-27132315</v>
      </c>
      <c r="AH107" s="44" t="s">
        <v>256</v>
      </c>
      <c r="AI107" s="44">
        <v>139250690</v>
      </c>
      <c r="AJ107" s="44">
        <v>139250690</v>
      </c>
      <c r="AK107" s="44">
        <f t="shared" si="3"/>
        <v>0</v>
      </c>
      <c r="AL107" s="44">
        <f t="shared" si="4"/>
        <v>0</v>
      </c>
      <c r="AM107" s="44">
        <f t="shared" si="5"/>
        <v>0</v>
      </c>
    </row>
    <row r="108" spans="1:39" hidden="1" x14ac:dyDescent="0.25">
      <c r="A108" t="s">
        <v>521</v>
      </c>
      <c r="B108" t="s">
        <v>355</v>
      </c>
      <c r="C108" t="s">
        <v>521</v>
      </c>
      <c r="D108" t="s">
        <v>521</v>
      </c>
      <c r="E108" t="s">
        <v>522</v>
      </c>
      <c r="F108" t="s">
        <v>26</v>
      </c>
      <c r="G108" t="s">
        <v>523</v>
      </c>
      <c r="H108" t="s">
        <v>33</v>
      </c>
      <c r="I108" t="s">
        <v>524</v>
      </c>
      <c r="J108" t="s">
        <v>524</v>
      </c>
      <c r="K108" t="s">
        <v>524</v>
      </c>
      <c r="L108" t="s">
        <v>363</v>
      </c>
      <c r="M108" t="s">
        <v>571</v>
      </c>
      <c r="N108">
        <v>7957</v>
      </c>
      <c r="O108">
        <v>65</v>
      </c>
      <c r="P108" t="s">
        <v>572</v>
      </c>
      <c r="Q108" s="44">
        <v>41200000</v>
      </c>
      <c r="R108" s="44">
        <v>0</v>
      </c>
      <c r="S108" s="44">
        <v>0</v>
      </c>
      <c r="T108" s="44">
        <v>0</v>
      </c>
      <c r="U108" s="44">
        <v>0</v>
      </c>
      <c r="V108" s="44">
        <v>41200000</v>
      </c>
      <c r="W108" s="44">
        <v>34500000</v>
      </c>
      <c r="X108" s="44">
        <v>34500000</v>
      </c>
      <c r="Y108" s="44">
        <v>6700000</v>
      </c>
      <c r="Z108" s="44">
        <v>34500000</v>
      </c>
      <c r="AA108" s="44">
        <v>0</v>
      </c>
      <c r="AB108" s="44">
        <v>6700000</v>
      </c>
      <c r="AE108" s="44">
        <v>34500000</v>
      </c>
      <c r="AF108" s="44">
        <v>34500000</v>
      </c>
      <c r="AG108" s="44">
        <v>0</v>
      </c>
      <c r="AH108" s="44">
        <v>0</v>
      </c>
      <c r="AI108" s="44">
        <v>34500000</v>
      </c>
      <c r="AJ108" s="44">
        <v>34500000</v>
      </c>
      <c r="AK108" s="44">
        <f t="shared" si="3"/>
        <v>0</v>
      </c>
      <c r="AL108" s="44">
        <f t="shared" si="4"/>
        <v>0</v>
      </c>
      <c r="AM108" s="44">
        <f t="shared" si="5"/>
        <v>0</v>
      </c>
    </row>
    <row r="109" spans="1:39" hidden="1" x14ac:dyDescent="0.25">
      <c r="A109" t="s">
        <v>521</v>
      </c>
      <c r="B109" t="s">
        <v>355</v>
      </c>
      <c r="C109" t="s">
        <v>521</v>
      </c>
      <c r="D109" t="s">
        <v>521</v>
      </c>
      <c r="E109" t="s">
        <v>522</v>
      </c>
      <c r="F109" t="s">
        <v>26</v>
      </c>
      <c r="G109" t="s">
        <v>523</v>
      </c>
      <c r="H109" t="s">
        <v>33</v>
      </c>
      <c r="I109" t="s">
        <v>524</v>
      </c>
      <c r="J109" t="s">
        <v>524</v>
      </c>
      <c r="K109" t="s">
        <v>524</v>
      </c>
      <c r="L109" t="s">
        <v>363</v>
      </c>
      <c r="M109" t="s">
        <v>573</v>
      </c>
      <c r="N109">
        <v>7958</v>
      </c>
      <c r="O109">
        <v>66</v>
      </c>
      <c r="P109" t="s">
        <v>574</v>
      </c>
      <c r="Q109" s="44">
        <v>10815000</v>
      </c>
      <c r="R109" s="44">
        <v>0</v>
      </c>
      <c r="S109" s="44">
        <v>0</v>
      </c>
      <c r="T109" s="44">
        <v>0</v>
      </c>
      <c r="U109" s="44">
        <v>0</v>
      </c>
      <c r="V109" s="44">
        <v>10815000</v>
      </c>
      <c r="W109" s="44">
        <v>1845612</v>
      </c>
      <c r="X109" s="44">
        <v>1845612</v>
      </c>
      <c r="Y109" s="44">
        <v>8969388</v>
      </c>
      <c r="Z109" s="44">
        <v>1845612</v>
      </c>
      <c r="AA109" s="44">
        <v>0</v>
      </c>
      <c r="AB109" s="44">
        <v>8969388</v>
      </c>
      <c r="AE109" s="44">
        <v>1845612</v>
      </c>
      <c r="AF109" s="44">
        <v>0</v>
      </c>
      <c r="AG109" s="44">
        <v>-800000</v>
      </c>
      <c r="AH109" s="44" t="s">
        <v>256</v>
      </c>
      <c r="AI109" s="44">
        <v>0</v>
      </c>
      <c r="AJ109" s="44">
        <v>0</v>
      </c>
      <c r="AK109" s="44">
        <f t="shared" si="3"/>
        <v>0</v>
      </c>
      <c r="AL109" s="44">
        <f t="shared" si="4"/>
        <v>0</v>
      </c>
      <c r="AM109" s="44">
        <f t="shared" si="5"/>
        <v>0</v>
      </c>
    </row>
    <row r="110" spans="1:39" hidden="1" x14ac:dyDescent="0.25">
      <c r="A110" t="s">
        <v>521</v>
      </c>
      <c r="B110" t="s">
        <v>355</v>
      </c>
      <c r="C110" t="s">
        <v>521</v>
      </c>
      <c r="D110" t="s">
        <v>521</v>
      </c>
      <c r="E110" t="s">
        <v>522</v>
      </c>
      <c r="F110" t="s">
        <v>26</v>
      </c>
      <c r="G110" t="s">
        <v>523</v>
      </c>
      <c r="H110" t="s">
        <v>33</v>
      </c>
      <c r="I110" t="s">
        <v>524</v>
      </c>
      <c r="J110" t="s">
        <v>524</v>
      </c>
      <c r="K110" t="s">
        <v>524</v>
      </c>
      <c r="L110" t="s">
        <v>363</v>
      </c>
      <c r="M110" t="s">
        <v>575</v>
      </c>
      <c r="N110">
        <v>7959</v>
      </c>
      <c r="O110">
        <v>67</v>
      </c>
      <c r="P110" t="s">
        <v>576</v>
      </c>
      <c r="Q110" s="44">
        <v>113300000</v>
      </c>
      <c r="R110" s="44">
        <v>0</v>
      </c>
      <c r="S110" s="44">
        <v>0</v>
      </c>
      <c r="T110" s="44">
        <v>0</v>
      </c>
      <c r="U110" s="44">
        <v>0</v>
      </c>
      <c r="V110" s="44">
        <v>113300000</v>
      </c>
      <c r="W110" s="44">
        <v>97883416</v>
      </c>
      <c r="X110" s="44">
        <v>97883416</v>
      </c>
      <c r="Y110" s="44">
        <v>15416584</v>
      </c>
      <c r="Z110" s="44">
        <v>97883416</v>
      </c>
      <c r="AA110" s="44">
        <v>0</v>
      </c>
      <c r="AB110" s="44">
        <v>15416584</v>
      </c>
      <c r="AE110" s="44">
        <v>97883416</v>
      </c>
      <c r="AF110" s="44">
        <v>9835830</v>
      </c>
      <c r="AG110" s="44">
        <v>-2116584</v>
      </c>
      <c r="AH110" s="44" t="s">
        <v>256</v>
      </c>
      <c r="AI110" s="44">
        <v>9835830</v>
      </c>
      <c r="AJ110" s="44">
        <v>9835830</v>
      </c>
      <c r="AK110" s="44">
        <f t="shared" si="3"/>
        <v>0</v>
      </c>
      <c r="AL110" s="44">
        <f t="shared" si="4"/>
        <v>0</v>
      </c>
      <c r="AM110" s="44">
        <f t="shared" si="5"/>
        <v>0</v>
      </c>
    </row>
    <row r="111" spans="1:39" hidden="1" x14ac:dyDescent="0.25">
      <c r="A111" t="s">
        <v>521</v>
      </c>
      <c r="B111" t="s">
        <v>355</v>
      </c>
      <c r="C111" t="s">
        <v>521</v>
      </c>
      <c r="D111" t="s">
        <v>521</v>
      </c>
      <c r="E111" t="s">
        <v>522</v>
      </c>
      <c r="F111" t="s">
        <v>26</v>
      </c>
      <c r="G111" t="s">
        <v>523</v>
      </c>
      <c r="H111" t="s">
        <v>33</v>
      </c>
      <c r="I111" t="s">
        <v>524</v>
      </c>
      <c r="J111" t="s">
        <v>524</v>
      </c>
      <c r="K111" t="s">
        <v>524</v>
      </c>
      <c r="L111" t="s">
        <v>363</v>
      </c>
      <c r="M111" t="s">
        <v>577</v>
      </c>
      <c r="N111">
        <v>7960</v>
      </c>
      <c r="O111">
        <v>68</v>
      </c>
      <c r="P111" t="s">
        <v>578</v>
      </c>
      <c r="Q111" s="44">
        <v>36050000</v>
      </c>
      <c r="R111" s="44">
        <v>0</v>
      </c>
      <c r="S111" s="44">
        <v>0</v>
      </c>
      <c r="T111" s="44">
        <v>0</v>
      </c>
      <c r="U111" s="44">
        <v>0</v>
      </c>
      <c r="V111" s="44">
        <v>36050000</v>
      </c>
      <c r="W111" s="44">
        <v>22781980</v>
      </c>
      <c r="X111" s="44">
        <v>22781980</v>
      </c>
      <c r="Y111" s="44">
        <v>13268020</v>
      </c>
      <c r="Z111" s="44">
        <v>22781980</v>
      </c>
      <c r="AA111" s="44">
        <v>0</v>
      </c>
      <c r="AB111" s="44">
        <v>13268020</v>
      </c>
      <c r="AE111" s="44">
        <v>20927171</v>
      </c>
      <c r="AF111" s="44">
        <v>1854809</v>
      </c>
      <c r="AG111" s="44">
        <v>-7218020</v>
      </c>
      <c r="AH111" s="44">
        <v>0</v>
      </c>
      <c r="AI111" s="44">
        <v>1854809</v>
      </c>
      <c r="AJ111" s="44">
        <v>1902020</v>
      </c>
      <c r="AK111" s="44">
        <f t="shared" si="3"/>
        <v>0</v>
      </c>
      <c r="AL111" s="44">
        <f t="shared" si="4"/>
        <v>0</v>
      </c>
      <c r="AM111" s="44">
        <f t="shared" si="5"/>
        <v>1854809</v>
      </c>
    </row>
    <row r="112" spans="1:39" hidden="1" x14ac:dyDescent="0.25">
      <c r="A112" t="s">
        <v>521</v>
      </c>
      <c r="B112" t="s">
        <v>355</v>
      </c>
      <c r="C112" t="s">
        <v>521</v>
      </c>
      <c r="D112" t="s">
        <v>521</v>
      </c>
      <c r="E112" t="s">
        <v>522</v>
      </c>
      <c r="F112" t="s">
        <v>26</v>
      </c>
      <c r="G112" t="s">
        <v>523</v>
      </c>
      <c r="H112" t="s">
        <v>33</v>
      </c>
      <c r="I112" t="s">
        <v>524</v>
      </c>
      <c r="J112" t="s">
        <v>524</v>
      </c>
      <c r="K112" t="s">
        <v>524</v>
      </c>
      <c r="L112" t="s">
        <v>363</v>
      </c>
      <c r="M112" t="s">
        <v>579</v>
      </c>
      <c r="N112">
        <v>7961</v>
      </c>
      <c r="O112">
        <v>69</v>
      </c>
      <c r="P112" t="s">
        <v>580</v>
      </c>
      <c r="Q112" s="44">
        <v>31930000</v>
      </c>
      <c r="R112" s="44">
        <v>0</v>
      </c>
      <c r="S112" s="44">
        <v>0</v>
      </c>
      <c r="T112" s="44">
        <v>0</v>
      </c>
      <c r="U112" s="44">
        <v>0</v>
      </c>
      <c r="V112" s="44">
        <v>31930000</v>
      </c>
      <c r="W112" s="44">
        <v>13851842</v>
      </c>
      <c r="X112" s="44">
        <v>13851842</v>
      </c>
      <c r="Y112" s="44">
        <v>18078158</v>
      </c>
      <c r="Z112" s="44">
        <v>13851842</v>
      </c>
      <c r="AA112" s="44">
        <v>0</v>
      </c>
      <c r="AB112" s="44">
        <v>18078158</v>
      </c>
      <c r="AE112" s="44">
        <v>13851842</v>
      </c>
      <c r="AF112" s="44">
        <v>1539179</v>
      </c>
      <c r="AG112" s="44">
        <v>-1148158</v>
      </c>
      <c r="AH112" s="44" t="s">
        <v>256</v>
      </c>
      <c r="AI112" s="44">
        <v>1539179</v>
      </c>
      <c r="AJ112" s="44">
        <v>1539179</v>
      </c>
      <c r="AK112" s="44">
        <f t="shared" si="3"/>
        <v>0</v>
      </c>
      <c r="AL112" s="44">
        <f t="shared" si="4"/>
        <v>0</v>
      </c>
      <c r="AM112" s="44">
        <f t="shared" si="5"/>
        <v>0</v>
      </c>
    </row>
    <row r="113" spans="1:39" hidden="1" x14ac:dyDescent="0.25">
      <c r="A113" t="s">
        <v>521</v>
      </c>
      <c r="B113" t="s">
        <v>355</v>
      </c>
      <c r="C113" t="s">
        <v>521</v>
      </c>
      <c r="D113" t="s">
        <v>521</v>
      </c>
      <c r="E113" t="s">
        <v>522</v>
      </c>
      <c r="F113" t="s">
        <v>26</v>
      </c>
      <c r="G113" t="s">
        <v>523</v>
      </c>
      <c r="H113" t="s">
        <v>33</v>
      </c>
      <c r="I113" t="s">
        <v>524</v>
      </c>
      <c r="J113" t="s">
        <v>524</v>
      </c>
      <c r="K113" t="s">
        <v>524</v>
      </c>
      <c r="L113" t="s">
        <v>363</v>
      </c>
      <c r="M113" t="s">
        <v>581</v>
      </c>
      <c r="N113">
        <v>7962</v>
      </c>
      <c r="O113">
        <v>70</v>
      </c>
      <c r="P113" t="s">
        <v>582</v>
      </c>
      <c r="Q113" s="44">
        <v>276902417</v>
      </c>
      <c r="R113" s="44">
        <v>0</v>
      </c>
      <c r="S113" s="44">
        <v>0</v>
      </c>
      <c r="T113" s="44">
        <v>0</v>
      </c>
      <c r="U113" s="44">
        <v>19100000</v>
      </c>
      <c r="V113" s="44">
        <v>257802417</v>
      </c>
      <c r="W113" s="44">
        <v>211290059</v>
      </c>
      <c r="X113" s="44">
        <v>211290059</v>
      </c>
      <c r="Y113" s="44">
        <v>46512358</v>
      </c>
      <c r="Z113" s="44">
        <v>211290059</v>
      </c>
      <c r="AA113" s="44">
        <v>0</v>
      </c>
      <c r="AB113" s="44">
        <v>46512358</v>
      </c>
      <c r="AE113" s="44">
        <v>205172290</v>
      </c>
      <c r="AF113" s="44">
        <v>69736131</v>
      </c>
      <c r="AG113" s="44">
        <v>-10634868</v>
      </c>
      <c r="AH113" s="44" t="s">
        <v>256</v>
      </c>
      <c r="AI113" s="44">
        <v>69736131</v>
      </c>
      <c r="AJ113" s="44">
        <v>64437478</v>
      </c>
      <c r="AK113" s="44">
        <f t="shared" si="3"/>
        <v>0</v>
      </c>
      <c r="AL113" s="44">
        <f t="shared" si="4"/>
        <v>0</v>
      </c>
      <c r="AM113" s="44">
        <f t="shared" si="5"/>
        <v>6117769</v>
      </c>
    </row>
    <row r="114" spans="1:39" hidden="1" x14ac:dyDescent="0.25">
      <c r="A114" t="s">
        <v>521</v>
      </c>
      <c r="B114" t="s">
        <v>355</v>
      </c>
      <c r="C114" t="s">
        <v>521</v>
      </c>
      <c r="D114" t="s">
        <v>521</v>
      </c>
      <c r="E114" t="s">
        <v>522</v>
      </c>
      <c r="F114" t="s">
        <v>26</v>
      </c>
      <c r="G114" t="s">
        <v>523</v>
      </c>
      <c r="H114" t="s">
        <v>33</v>
      </c>
      <c r="I114" t="s">
        <v>524</v>
      </c>
      <c r="J114" t="s">
        <v>524</v>
      </c>
      <c r="K114" t="s">
        <v>524</v>
      </c>
      <c r="L114" t="s">
        <v>363</v>
      </c>
      <c r="M114" t="s">
        <v>583</v>
      </c>
      <c r="N114">
        <v>7963</v>
      </c>
      <c r="O114">
        <v>71</v>
      </c>
      <c r="P114" t="s">
        <v>584</v>
      </c>
      <c r="Q114" s="44">
        <v>1000000</v>
      </c>
      <c r="R114" s="44">
        <v>0</v>
      </c>
      <c r="S114" s="44">
        <v>0</v>
      </c>
      <c r="T114" s="44">
        <v>0</v>
      </c>
      <c r="U114" s="44">
        <v>0</v>
      </c>
      <c r="V114" s="44">
        <v>1000000</v>
      </c>
      <c r="W114" s="44">
        <v>0</v>
      </c>
      <c r="X114" s="44">
        <v>0</v>
      </c>
      <c r="Y114" s="44">
        <v>1000000</v>
      </c>
      <c r="Z114" s="44">
        <v>0</v>
      </c>
      <c r="AA114" s="44">
        <v>0</v>
      </c>
      <c r="AB114" s="44">
        <v>1000000</v>
      </c>
      <c r="AE114" s="44">
        <v>0</v>
      </c>
      <c r="AF114" s="44">
        <v>0</v>
      </c>
      <c r="AG114" s="44">
        <v>0</v>
      </c>
      <c r="AH114" s="44">
        <v>0</v>
      </c>
      <c r="AI114" s="44">
        <v>0</v>
      </c>
      <c r="AJ114" s="44">
        <v>0</v>
      </c>
      <c r="AK114" s="44">
        <f t="shared" si="3"/>
        <v>0</v>
      </c>
      <c r="AL114" s="44">
        <f t="shared" si="4"/>
        <v>0</v>
      </c>
      <c r="AM114" s="44">
        <f t="shared" si="5"/>
        <v>0</v>
      </c>
    </row>
    <row r="115" spans="1:39" hidden="1" x14ac:dyDescent="0.25">
      <c r="A115" t="s">
        <v>521</v>
      </c>
      <c r="B115" t="s">
        <v>355</v>
      </c>
      <c r="C115" t="s">
        <v>521</v>
      </c>
      <c r="D115" t="s">
        <v>521</v>
      </c>
      <c r="E115" t="s">
        <v>522</v>
      </c>
      <c r="F115" t="s">
        <v>26</v>
      </c>
      <c r="G115" t="s">
        <v>523</v>
      </c>
      <c r="H115" t="s">
        <v>33</v>
      </c>
      <c r="I115" t="s">
        <v>524</v>
      </c>
      <c r="J115" t="s">
        <v>524</v>
      </c>
      <c r="K115" t="s">
        <v>524</v>
      </c>
      <c r="L115" t="s">
        <v>363</v>
      </c>
      <c r="M115" t="s">
        <v>585</v>
      </c>
      <c r="N115">
        <v>7964</v>
      </c>
      <c r="O115">
        <v>72</v>
      </c>
      <c r="P115" t="s">
        <v>586</v>
      </c>
      <c r="Q115" s="44">
        <v>1000000</v>
      </c>
      <c r="R115" s="44">
        <v>0</v>
      </c>
      <c r="S115" s="44">
        <v>0</v>
      </c>
      <c r="T115" s="44">
        <v>0</v>
      </c>
      <c r="U115" s="44">
        <v>0</v>
      </c>
      <c r="V115" s="44">
        <v>1000000</v>
      </c>
      <c r="W115" s="44">
        <v>478000</v>
      </c>
      <c r="X115" s="44">
        <v>478000</v>
      </c>
      <c r="Y115" s="44">
        <v>522000</v>
      </c>
      <c r="Z115" s="44">
        <v>478000</v>
      </c>
      <c r="AA115" s="44">
        <v>0</v>
      </c>
      <c r="AB115" s="44">
        <v>522000</v>
      </c>
      <c r="AE115" s="44">
        <v>478000</v>
      </c>
      <c r="AF115" s="44">
        <v>0</v>
      </c>
      <c r="AG115" s="44">
        <v>0</v>
      </c>
      <c r="AH115" s="44">
        <v>0</v>
      </c>
      <c r="AI115" s="44">
        <v>0</v>
      </c>
      <c r="AJ115" s="44">
        <v>0</v>
      </c>
      <c r="AK115" s="44">
        <f t="shared" si="3"/>
        <v>0</v>
      </c>
      <c r="AL115" s="44">
        <f t="shared" si="4"/>
        <v>0</v>
      </c>
      <c r="AM115" s="44">
        <f t="shared" si="5"/>
        <v>0</v>
      </c>
    </row>
    <row r="116" spans="1:39" hidden="1" x14ac:dyDescent="0.25">
      <c r="A116" t="s">
        <v>521</v>
      </c>
      <c r="B116" t="s">
        <v>355</v>
      </c>
      <c r="C116" t="s">
        <v>521</v>
      </c>
      <c r="D116" t="s">
        <v>521</v>
      </c>
      <c r="E116" t="s">
        <v>522</v>
      </c>
      <c r="F116" t="s">
        <v>26</v>
      </c>
      <c r="G116" t="s">
        <v>523</v>
      </c>
      <c r="H116" t="s">
        <v>33</v>
      </c>
      <c r="I116" t="s">
        <v>524</v>
      </c>
      <c r="J116" t="s">
        <v>524</v>
      </c>
      <c r="K116" t="s">
        <v>524</v>
      </c>
      <c r="L116" t="s">
        <v>363</v>
      </c>
      <c r="M116" t="s">
        <v>587</v>
      </c>
      <c r="N116">
        <v>7965</v>
      </c>
      <c r="O116">
        <v>73</v>
      </c>
      <c r="P116" t="s">
        <v>588</v>
      </c>
      <c r="Q116" s="44">
        <v>1200000</v>
      </c>
      <c r="R116" s="44">
        <v>0</v>
      </c>
      <c r="S116" s="44">
        <v>0</v>
      </c>
      <c r="T116" s="44">
        <v>0</v>
      </c>
      <c r="U116" s="44">
        <v>0</v>
      </c>
      <c r="V116" s="44">
        <v>1200000</v>
      </c>
      <c r="W116" s="44">
        <v>0</v>
      </c>
      <c r="X116" s="44">
        <v>0</v>
      </c>
      <c r="Y116" s="44">
        <v>1200000</v>
      </c>
      <c r="Z116" s="44">
        <v>0</v>
      </c>
      <c r="AA116" s="44">
        <v>0</v>
      </c>
      <c r="AB116" s="44">
        <v>1200000</v>
      </c>
      <c r="AE116" s="44">
        <v>0</v>
      </c>
      <c r="AF116" s="44">
        <v>0</v>
      </c>
      <c r="AG116" s="44">
        <v>0</v>
      </c>
      <c r="AH116" s="44">
        <v>0</v>
      </c>
      <c r="AI116" s="44">
        <v>0</v>
      </c>
      <c r="AJ116" s="44">
        <v>0</v>
      </c>
      <c r="AK116" s="44">
        <f t="shared" si="3"/>
        <v>0</v>
      </c>
      <c r="AL116" s="44">
        <f t="shared" si="4"/>
        <v>0</v>
      </c>
      <c r="AM116" s="44">
        <f t="shared" si="5"/>
        <v>0</v>
      </c>
    </row>
    <row r="117" spans="1:39" hidden="1" x14ac:dyDescent="0.25">
      <c r="A117" t="s">
        <v>521</v>
      </c>
      <c r="B117" t="s">
        <v>355</v>
      </c>
      <c r="C117" t="s">
        <v>521</v>
      </c>
      <c r="D117" t="s">
        <v>521</v>
      </c>
      <c r="E117" t="s">
        <v>522</v>
      </c>
      <c r="F117" t="s">
        <v>26</v>
      </c>
      <c r="G117" t="s">
        <v>523</v>
      </c>
      <c r="H117" t="s">
        <v>33</v>
      </c>
      <c r="I117" t="s">
        <v>524</v>
      </c>
      <c r="J117" t="s">
        <v>524</v>
      </c>
      <c r="K117" t="s">
        <v>524</v>
      </c>
      <c r="L117" t="s">
        <v>363</v>
      </c>
      <c r="M117" t="s">
        <v>589</v>
      </c>
      <c r="N117">
        <v>7966</v>
      </c>
      <c r="O117">
        <v>74</v>
      </c>
      <c r="P117" t="s">
        <v>590</v>
      </c>
      <c r="Q117" s="44">
        <v>25000000</v>
      </c>
      <c r="R117" s="44">
        <v>0</v>
      </c>
      <c r="S117" s="44">
        <v>0</v>
      </c>
      <c r="T117" s="44">
        <v>0</v>
      </c>
      <c r="U117" s="44">
        <v>0</v>
      </c>
      <c r="V117" s="44">
        <v>25000000</v>
      </c>
      <c r="W117" s="44">
        <v>25000000</v>
      </c>
      <c r="X117" s="44">
        <v>25000000</v>
      </c>
      <c r="Y117" s="44">
        <v>0</v>
      </c>
      <c r="Z117" s="44">
        <v>25000000</v>
      </c>
      <c r="AA117" s="44">
        <v>0</v>
      </c>
      <c r="AB117" s="44">
        <v>0</v>
      </c>
      <c r="AE117" s="44">
        <v>10142487</v>
      </c>
      <c r="AF117" s="44">
        <v>14857513</v>
      </c>
      <c r="AG117" s="44">
        <v>14857513</v>
      </c>
      <c r="AH117" s="44">
        <v>14857513</v>
      </c>
      <c r="AI117" s="44">
        <v>14857513</v>
      </c>
      <c r="AJ117" s="44">
        <v>4616758</v>
      </c>
      <c r="AK117" s="44">
        <f t="shared" si="3"/>
        <v>0</v>
      </c>
      <c r="AL117" s="44">
        <f t="shared" si="4"/>
        <v>0</v>
      </c>
      <c r="AM117" s="44">
        <f t="shared" si="5"/>
        <v>14857513</v>
      </c>
    </row>
    <row r="118" spans="1:39" hidden="1" x14ac:dyDescent="0.25">
      <c r="A118" t="s">
        <v>521</v>
      </c>
      <c r="B118" t="s">
        <v>355</v>
      </c>
      <c r="C118" t="s">
        <v>521</v>
      </c>
      <c r="D118" t="s">
        <v>521</v>
      </c>
      <c r="E118" t="s">
        <v>522</v>
      </c>
      <c r="F118" t="s">
        <v>26</v>
      </c>
      <c r="G118" t="s">
        <v>523</v>
      </c>
      <c r="H118" t="s">
        <v>33</v>
      </c>
      <c r="I118" t="s">
        <v>524</v>
      </c>
      <c r="J118" t="s">
        <v>524</v>
      </c>
      <c r="K118" t="s">
        <v>524</v>
      </c>
      <c r="L118" t="s">
        <v>363</v>
      </c>
      <c r="M118" t="s">
        <v>591</v>
      </c>
      <c r="N118">
        <v>7967</v>
      </c>
      <c r="O118">
        <v>75</v>
      </c>
      <c r="P118" t="s">
        <v>592</v>
      </c>
      <c r="Q118" s="44">
        <v>20000000</v>
      </c>
      <c r="R118" s="44">
        <v>0</v>
      </c>
      <c r="S118" s="44">
        <v>0</v>
      </c>
      <c r="T118" s="44">
        <v>0</v>
      </c>
      <c r="U118" s="44">
        <v>0</v>
      </c>
      <c r="V118" s="44">
        <v>20000000</v>
      </c>
      <c r="W118" s="44">
        <v>0</v>
      </c>
      <c r="X118" s="44">
        <v>0</v>
      </c>
      <c r="Y118" s="44">
        <v>20000000</v>
      </c>
      <c r="Z118" s="44">
        <v>0</v>
      </c>
      <c r="AA118" s="44">
        <v>0</v>
      </c>
      <c r="AB118" s="44">
        <v>20000000</v>
      </c>
      <c r="AE118" s="44">
        <v>0</v>
      </c>
      <c r="AF118" s="44">
        <v>0</v>
      </c>
      <c r="AG118" s="44">
        <v>0</v>
      </c>
      <c r="AH118" s="44">
        <v>0</v>
      </c>
      <c r="AI118" s="44">
        <v>0</v>
      </c>
      <c r="AJ118" s="44">
        <v>0</v>
      </c>
      <c r="AK118" s="44">
        <f t="shared" si="3"/>
        <v>0</v>
      </c>
      <c r="AL118" s="44">
        <f t="shared" si="4"/>
        <v>0</v>
      </c>
      <c r="AM118" s="44">
        <f t="shared" si="5"/>
        <v>0</v>
      </c>
    </row>
    <row r="119" spans="1:39" hidden="1" x14ac:dyDescent="0.25">
      <c r="A119" t="s">
        <v>521</v>
      </c>
      <c r="B119" t="s">
        <v>355</v>
      </c>
      <c r="C119" t="s">
        <v>521</v>
      </c>
      <c r="D119" t="s">
        <v>521</v>
      </c>
      <c r="E119" t="s">
        <v>522</v>
      </c>
      <c r="F119" t="s">
        <v>26</v>
      </c>
      <c r="G119" t="s">
        <v>523</v>
      </c>
      <c r="H119" t="s">
        <v>33</v>
      </c>
      <c r="I119" t="s">
        <v>524</v>
      </c>
      <c r="J119" t="s">
        <v>524</v>
      </c>
      <c r="K119" t="s">
        <v>524</v>
      </c>
      <c r="L119" t="s">
        <v>363</v>
      </c>
      <c r="M119" t="s">
        <v>593</v>
      </c>
      <c r="N119">
        <v>7968</v>
      </c>
      <c r="O119">
        <v>76</v>
      </c>
      <c r="P119" t="s">
        <v>594</v>
      </c>
      <c r="Q119" s="44">
        <v>30000000</v>
      </c>
      <c r="R119" s="44">
        <v>0</v>
      </c>
      <c r="S119" s="44">
        <v>0</v>
      </c>
      <c r="T119" s="44">
        <v>0</v>
      </c>
      <c r="U119" s="44">
        <v>0</v>
      </c>
      <c r="V119" s="44">
        <v>30000000</v>
      </c>
      <c r="W119" s="44">
        <v>27992715</v>
      </c>
      <c r="X119" s="44">
        <v>27992715</v>
      </c>
      <c r="Y119" s="44">
        <v>2007285</v>
      </c>
      <c r="Z119" s="44">
        <v>27992715</v>
      </c>
      <c r="AA119" s="44">
        <v>0</v>
      </c>
      <c r="AB119" s="44">
        <v>2007285</v>
      </c>
      <c r="AE119" s="44">
        <v>27992715</v>
      </c>
      <c r="AF119" s="44">
        <v>0</v>
      </c>
      <c r="AG119" s="44">
        <v>0</v>
      </c>
      <c r="AH119" s="44">
        <v>0</v>
      </c>
      <c r="AI119" s="44">
        <v>0</v>
      </c>
      <c r="AJ119" s="44">
        <v>0</v>
      </c>
      <c r="AK119" s="44">
        <f t="shared" si="3"/>
        <v>0</v>
      </c>
      <c r="AL119" s="44">
        <f t="shared" si="4"/>
        <v>0</v>
      </c>
      <c r="AM119" s="44">
        <f t="shared" si="5"/>
        <v>0</v>
      </c>
    </row>
    <row r="120" spans="1:39" hidden="1" x14ac:dyDescent="0.25">
      <c r="A120" t="s">
        <v>521</v>
      </c>
      <c r="B120" t="s">
        <v>355</v>
      </c>
      <c r="C120" t="s">
        <v>521</v>
      </c>
      <c r="D120" t="s">
        <v>521</v>
      </c>
      <c r="E120" t="s">
        <v>522</v>
      </c>
      <c r="F120" t="s">
        <v>26</v>
      </c>
      <c r="G120" t="s">
        <v>523</v>
      </c>
      <c r="H120" t="s">
        <v>33</v>
      </c>
      <c r="I120" t="s">
        <v>524</v>
      </c>
      <c r="J120" t="s">
        <v>524</v>
      </c>
      <c r="K120" t="s">
        <v>524</v>
      </c>
      <c r="L120" t="s">
        <v>363</v>
      </c>
      <c r="M120" t="s">
        <v>595</v>
      </c>
      <c r="N120">
        <v>7969</v>
      </c>
      <c r="O120">
        <v>77</v>
      </c>
      <c r="P120" t="s">
        <v>596</v>
      </c>
      <c r="Q120" s="44">
        <v>1860000</v>
      </c>
      <c r="R120" s="44">
        <v>0</v>
      </c>
      <c r="S120" s="44">
        <v>0</v>
      </c>
      <c r="T120" s="44">
        <v>0</v>
      </c>
      <c r="U120" s="44">
        <v>0</v>
      </c>
      <c r="V120" s="44">
        <v>1860000</v>
      </c>
      <c r="W120" s="44">
        <v>0</v>
      </c>
      <c r="X120" s="44">
        <v>0</v>
      </c>
      <c r="Y120" s="44">
        <v>1860000</v>
      </c>
      <c r="Z120" s="44">
        <v>0</v>
      </c>
      <c r="AA120" s="44">
        <v>0</v>
      </c>
      <c r="AB120" s="44">
        <v>1860000</v>
      </c>
      <c r="AE120" s="44">
        <v>0</v>
      </c>
      <c r="AF120" s="44">
        <v>0</v>
      </c>
      <c r="AG120" s="44">
        <v>0</v>
      </c>
      <c r="AH120" s="44">
        <v>0</v>
      </c>
      <c r="AI120" s="44">
        <v>0</v>
      </c>
      <c r="AJ120" s="44">
        <v>0</v>
      </c>
      <c r="AK120" s="44">
        <f t="shared" si="3"/>
        <v>0</v>
      </c>
      <c r="AL120" s="44">
        <f t="shared" si="4"/>
        <v>0</v>
      </c>
      <c r="AM120" s="44">
        <f t="shared" si="5"/>
        <v>0</v>
      </c>
    </row>
    <row r="121" spans="1:39" hidden="1" x14ac:dyDescent="0.25">
      <c r="A121" t="s">
        <v>521</v>
      </c>
      <c r="B121" t="s">
        <v>355</v>
      </c>
      <c r="C121" t="s">
        <v>521</v>
      </c>
      <c r="D121" t="s">
        <v>521</v>
      </c>
      <c r="E121" t="s">
        <v>522</v>
      </c>
      <c r="F121" t="s">
        <v>26</v>
      </c>
      <c r="G121" t="s">
        <v>523</v>
      </c>
      <c r="H121" t="s">
        <v>33</v>
      </c>
      <c r="I121" t="s">
        <v>524</v>
      </c>
      <c r="J121" t="s">
        <v>524</v>
      </c>
      <c r="K121" t="s">
        <v>524</v>
      </c>
      <c r="L121" t="s">
        <v>363</v>
      </c>
      <c r="M121" t="s">
        <v>597</v>
      </c>
      <c r="N121">
        <v>7970</v>
      </c>
      <c r="O121">
        <v>78</v>
      </c>
      <c r="P121" t="s">
        <v>598</v>
      </c>
      <c r="Q121" s="44">
        <v>200000</v>
      </c>
      <c r="R121" s="44">
        <v>0</v>
      </c>
      <c r="S121" s="44">
        <v>0</v>
      </c>
      <c r="T121" s="44">
        <v>0</v>
      </c>
      <c r="U121" s="44">
        <v>0</v>
      </c>
      <c r="V121" s="44">
        <v>200000</v>
      </c>
      <c r="W121" s="44">
        <v>0</v>
      </c>
      <c r="X121" s="44">
        <v>0</v>
      </c>
      <c r="Y121" s="44">
        <v>200000</v>
      </c>
      <c r="Z121" s="44">
        <v>0</v>
      </c>
      <c r="AA121" s="44">
        <v>0</v>
      </c>
      <c r="AB121" s="44">
        <v>200000</v>
      </c>
      <c r="AE121" s="44">
        <v>0</v>
      </c>
      <c r="AF121" s="44">
        <v>0</v>
      </c>
      <c r="AG121" s="44">
        <v>0</v>
      </c>
      <c r="AH121" s="44">
        <v>0</v>
      </c>
      <c r="AI121" s="44">
        <v>0</v>
      </c>
      <c r="AJ121" s="44">
        <v>0</v>
      </c>
      <c r="AK121" s="44">
        <f t="shared" si="3"/>
        <v>0</v>
      </c>
      <c r="AL121" s="44">
        <f t="shared" si="4"/>
        <v>0</v>
      </c>
      <c r="AM121" s="44">
        <f t="shared" si="5"/>
        <v>0</v>
      </c>
    </row>
    <row r="122" spans="1:39" hidden="1" x14ac:dyDescent="0.25">
      <c r="A122" t="s">
        <v>521</v>
      </c>
      <c r="B122" t="s">
        <v>355</v>
      </c>
      <c r="C122" t="s">
        <v>599</v>
      </c>
      <c r="D122" t="s">
        <v>599</v>
      </c>
      <c r="E122" t="s">
        <v>600</v>
      </c>
      <c r="F122" t="s">
        <v>26</v>
      </c>
      <c r="G122" t="s">
        <v>523</v>
      </c>
      <c r="H122" t="s">
        <v>33</v>
      </c>
      <c r="I122" t="s">
        <v>601</v>
      </c>
      <c r="J122" t="s">
        <v>602</v>
      </c>
      <c r="K122" t="s">
        <v>603</v>
      </c>
      <c r="L122" t="s">
        <v>363</v>
      </c>
      <c r="M122" t="s">
        <v>604</v>
      </c>
      <c r="N122">
        <v>7971</v>
      </c>
      <c r="O122">
        <v>79</v>
      </c>
      <c r="P122" t="s">
        <v>605</v>
      </c>
      <c r="Q122" s="44">
        <v>95766864</v>
      </c>
      <c r="R122" s="44">
        <v>0</v>
      </c>
      <c r="S122" s="44">
        <v>0</v>
      </c>
      <c r="T122" s="44">
        <v>0</v>
      </c>
      <c r="U122" s="44">
        <v>0</v>
      </c>
      <c r="V122" s="44">
        <v>95766864</v>
      </c>
      <c r="W122" s="44">
        <v>94127759</v>
      </c>
      <c r="X122" s="44">
        <v>94127759</v>
      </c>
      <c r="Y122" s="44">
        <v>1639105</v>
      </c>
      <c r="Z122" s="44">
        <v>94127759</v>
      </c>
      <c r="AA122" s="44">
        <v>0</v>
      </c>
      <c r="AB122" s="44">
        <v>1639105</v>
      </c>
      <c r="AE122" s="44">
        <v>94127759</v>
      </c>
      <c r="AF122" s="44">
        <v>0</v>
      </c>
      <c r="AG122" s="44">
        <v>-771007</v>
      </c>
      <c r="AH122" s="44" t="s">
        <v>256</v>
      </c>
      <c r="AI122" s="44">
        <v>0</v>
      </c>
      <c r="AJ122" s="44">
        <v>0</v>
      </c>
      <c r="AK122" s="44">
        <f t="shared" si="3"/>
        <v>0</v>
      </c>
      <c r="AL122" s="44">
        <f t="shared" si="4"/>
        <v>0</v>
      </c>
      <c r="AM122" s="44">
        <f t="shared" si="5"/>
        <v>0</v>
      </c>
    </row>
    <row r="124" spans="1:39" x14ac:dyDescent="0.25">
      <c r="Q124" s="227">
        <f>SUM(Q2:Q123)</f>
        <v>14533479602</v>
      </c>
      <c r="R124" s="227">
        <f t="shared" ref="R124:AM124" si="6">SUM(R2:R123)</f>
        <v>11119206983</v>
      </c>
      <c r="S124" s="227">
        <f t="shared" si="6"/>
        <v>701874892</v>
      </c>
      <c r="T124" s="227">
        <f t="shared" si="6"/>
        <v>3699004714</v>
      </c>
      <c r="U124" s="227">
        <f t="shared" si="6"/>
        <v>3699004714</v>
      </c>
      <c r="V124" s="227">
        <f t="shared" si="6"/>
        <v>24950811693</v>
      </c>
      <c r="W124" s="227">
        <f t="shared" si="6"/>
        <v>18989338934</v>
      </c>
      <c r="X124" s="227">
        <f t="shared" si="6"/>
        <v>18989338934</v>
      </c>
      <c r="Y124" s="227">
        <f t="shared" si="6"/>
        <v>5961472759</v>
      </c>
      <c r="Z124" s="227">
        <f t="shared" si="6"/>
        <v>18989338934</v>
      </c>
      <c r="AA124" s="227">
        <f t="shared" si="6"/>
        <v>0</v>
      </c>
      <c r="AB124" s="227">
        <f t="shared" si="6"/>
        <v>5961472759</v>
      </c>
      <c r="AC124" s="227">
        <f t="shared" si="6"/>
        <v>0</v>
      </c>
      <c r="AD124" s="227">
        <f t="shared" si="6"/>
        <v>0</v>
      </c>
      <c r="AE124" s="227">
        <f t="shared" si="6"/>
        <v>16868331328</v>
      </c>
      <c r="AF124" s="227">
        <f t="shared" si="6"/>
        <v>7076062550</v>
      </c>
      <c r="AG124" s="227">
        <f t="shared" si="6"/>
        <v>13866369</v>
      </c>
      <c r="AH124" s="227">
        <f t="shared" si="6"/>
        <v>855320639</v>
      </c>
      <c r="AI124" s="227">
        <f t="shared" si="6"/>
        <v>7076062550</v>
      </c>
      <c r="AJ124" s="227">
        <f t="shared" si="6"/>
        <v>5046753037</v>
      </c>
      <c r="AK124" s="227">
        <f t="shared" si="6"/>
        <v>0</v>
      </c>
      <c r="AL124" s="227">
        <f t="shared" si="6"/>
        <v>0</v>
      </c>
      <c r="AM124" s="227">
        <f t="shared" si="6"/>
        <v>2121007606</v>
      </c>
    </row>
  </sheetData>
  <autoFilter ref="A1:AM122" xr:uid="{00000000-0001-0000-0000-000000000000}">
    <filterColumn colId="12">
      <filters>
        <filter val="Circulación audiovisual y cinematografía -Circulación (Conv_ Ord 29)/10% de Ord 12"/>
        <filter val="Estimulos audiovisuales y cinematografía - creación (conv_ord 29)/ 10% de ord 12"/>
      </filters>
    </filterColumn>
  </autoFilter>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1F03F-A619-4DA4-A490-919500D967BC}">
  <dimension ref="A1:I117"/>
  <sheetViews>
    <sheetView workbookViewId="0">
      <pane xSplit="4" ySplit="1" topLeftCell="E2" activePane="bottomRight" state="frozen"/>
      <selection pane="topRight" activeCell="E1" sqref="E1"/>
      <selection pane="bottomLeft" activeCell="A2" sqref="A2"/>
      <selection pane="bottomRight" activeCell="D8" sqref="D8"/>
    </sheetView>
  </sheetViews>
  <sheetFormatPr baseColWidth="10" defaultRowHeight="13.2" x14ac:dyDescent="0.25"/>
  <cols>
    <col min="1" max="1" width="15.109375" style="351" customWidth="1"/>
    <col min="2" max="2" width="11.5546875" style="352"/>
    <col min="4" max="4" width="45.33203125" customWidth="1"/>
    <col min="5" max="5" width="14.109375" style="44" customWidth="1"/>
    <col min="6" max="8" width="15.6640625" style="44" customWidth="1"/>
    <col min="9" max="9" width="11.5546875" style="350"/>
  </cols>
  <sheetData>
    <row r="1" spans="1:9" s="332" customFormat="1" ht="26.4" x14ac:dyDescent="0.25">
      <c r="A1" s="328" t="s">
        <v>953</v>
      </c>
      <c r="B1" s="329" t="s">
        <v>954</v>
      </c>
      <c r="C1" s="329" t="s">
        <v>955</v>
      </c>
      <c r="D1" s="329" t="s">
        <v>956</v>
      </c>
      <c r="E1" s="330" t="s">
        <v>957</v>
      </c>
      <c r="F1" s="330" t="s">
        <v>958</v>
      </c>
      <c r="G1" s="330" t="s">
        <v>959</v>
      </c>
      <c r="H1" s="330" t="s">
        <v>960</v>
      </c>
      <c r="I1" s="331" t="s">
        <v>961</v>
      </c>
    </row>
    <row r="2" spans="1:9" s="338" customFormat="1" ht="13.8" x14ac:dyDescent="0.3">
      <c r="A2" s="333"/>
      <c r="B2" s="334" t="s">
        <v>26</v>
      </c>
      <c r="C2" s="334">
        <v>999999</v>
      </c>
      <c r="D2" s="335" t="s">
        <v>609</v>
      </c>
      <c r="E2" s="336">
        <f>E3+E20+E21</f>
        <v>24950811693</v>
      </c>
      <c r="F2" s="336">
        <f t="shared" ref="F2:H2" si="0">F3+F20+F21</f>
        <v>18989338934</v>
      </c>
      <c r="G2" s="336">
        <f t="shared" si="0"/>
        <v>18989338934</v>
      </c>
      <c r="H2" s="336">
        <f t="shared" si="0"/>
        <v>16868331328</v>
      </c>
      <c r="I2" s="337">
        <f>F2/E2</f>
        <v>0.76107098909842263</v>
      </c>
    </row>
    <row r="3" spans="1:9" s="338" customFormat="1" ht="13.8" x14ac:dyDescent="0.3">
      <c r="A3" s="333"/>
      <c r="B3" s="334">
        <v>21</v>
      </c>
      <c r="C3" s="334">
        <v>999999</v>
      </c>
      <c r="D3" s="335" t="s">
        <v>610</v>
      </c>
      <c r="E3" s="336">
        <f>E4+E9+E13+E15+E17</f>
        <v>7318227555</v>
      </c>
      <c r="F3" s="336">
        <f t="shared" ref="F3:H3" si="1">F4+F9+F13+F15+F17</f>
        <v>6187571634</v>
      </c>
      <c r="G3" s="336">
        <f t="shared" si="1"/>
        <v>6187571634</v>
      </c>
      <c r="H3" s="336">
        <f t="shared" si="1"/>
        <v>5632017143</v>
      </c>
      <c r="I3" s="337"/>
    </row>
    <row r="4" spans="1:9" s="338" customFormat="1" ht="13.8" x14ac:dyDescent="0.3">
      <c r="A4" s="333"/>
      <c r="B4" s="334">
        <v>211</v>
      </c>
      <c r="C4" s="334">
        <v>999999</v>
      </c>
      <c r="D4" s="335" t="s">
        <v>611</v>
      </c>
      <c r="E4" s="336">
        <f>E5</f>
        <v>5113253938</v>
      </c>
      <c r="F4" s="336">
        <f t="shared" ref="F4:H4" si="2">F5</f>
        <v>4457084970</v>
      </c>
      <c r="G4" s="336">
        <f t="shared" si="2"/>
        <v>4457084970</v>
      </c>
      <c r="H4" s="336">
        <f t="shared" si="2"/>
        <v>4193856104</v>
      </c>
      <c r="I4" s="337"/>
    </row>
    <row r="5" spans="1:9" s="338" customFormat="1" ht="13.8" x14ac:dyDescent="0.3">
      <c r="A5" s="333"/>
      <c r="B5" s="334">
        <v>21101</v>
      </c>
      <c r="C5" s="334">
        <v>999999</v>
      </c>
      <c r="D5" s="335" t="s">
        <v>612</v>
      </c>
      <c r="E5" s="336">
        <f>SUM(E6:E8)</f>
        <v>5113253938</v>
      </c>
      <c r="F5" s="336">
        <f t="shared" ref="F5:H5" si="3">SUM(F6:F8)</f>
        <v>4457084970</v>
      </c>
      <c r="G5" s="336">
        <f t="shared" si="3"/>
        <v>4457084970</v>
      </c>
      <c r="H5" s="336">
        <f t="shared" si="3"/>
        <v>4193856104</v>
      </c>
      <c r="I5" s="337"/>
    </row>
    <row r="6" spans="1:9" s="343" customFormat="1" ht="13.8" x14ac:dyDescent="0.3">
      <c r="A6" s="339" t="s">
        <v>610</v>
      </c>
      <c r="B6" s="340">
        <v>2110101</v>
      </c>
      <c r="C6" s="340">
        <v>999999</v>
      </c>
      <c r="D6" s="341" t="s">
        <v>613</v>
      </c>
      <c r="E6" s="56">
        <f>SUMIFS(ejec_ICPA!$I:$I,ejec_ICPA!$B:$B,ejec_G_publicar!$D6,ejec_ICPA!$A:$A,ejec_G_publicar!$B6)</f>
        <v>3576465682</v>
      </c>
      <c r="F6" s="56">
        <f>SUMIFS(ejec_ICPA!$L:$L,ejec_ICPA!$B:$B,ejec_G_publicar!$D6,ejec_ICPA!$A:$A,ejec_G_publicar!$B6)</f>
        <v>3100839791</v>
      </c>
      <c r="G6" s="56">
        <f>SUMIFS(ejec_ICPA!$J:$J,ejec_ICPA!$B:$B,ejec_G_publicar!$D6,ejec_ICPA!$A:$A,ejec_G_publicar!$B6)</f>
        <v>3100839791</v>
      </c>
      <c r="H6" s="56">
        <f>SUMIFS(ejec_ICPA!$M:$M,ejec_ICPA!$B:$B,ejec_G_publicar!$D6,ejec_ICPA!$A:$A,ejec_G_publicar!$B6)</f>
        <v>3100775072</v>
      </c>
      <c r="I6" s="342">
        <f>F6/E6</f>
        <v>0.86701231514850585</v>
      </c>
    </row>
    <row r="7" spans="1:9" s="343" customFormat="1" ht="13.8" x14ac:dyDescent="0.3">
      <c r="A7" s="339" t="s">
        <v>610</v>
      </c>
      <c r="B7" s="340">
        <v>2110102</v>
      </c>
      <c r="C7" s="340">
        <v>999999</v>
      </c>
      <c r="D7" s="341" t="s">
        <v>616</v>
      </c>
      <c r="E7" s="56">
        <f>SUMIFS(ejec_ICPA!$I:$I,ejec_ICPA!$B:$B,ejec_G_publicar!$D7,ejec_ICPA!$A:$A,ejec_G_publicar!$B7)</f>
        <v>1320532123</v>
      </c>
      <c r="F7" s="56">
        <f>SUMIFS(ejec_ICPA!$L:$L,ejec_ICPA!$B:$B,ejec_G_publicar!$D7,ejec_ICPA!$A:$A,ejec_G_publicar!$B7)</f>
        <v>1170395127</v>
      </c>
      <c r="G7" s="56">
        <f>SUMIFS(ejec_ICPA!$J:$J,ejec_ICPA!$B:$B,ejec_G_publicar!$D7,ejec_ICPA!$A:$A,ejec_G_publicar!$B7)</f>
        <v>1170395127</v>
      </c>
      <c r="H7" s="56">
        <f>SUMIFS(ejec_ICPA!$M:$M,ejec_ICPA!$B:$B,ejec_G_publicar!$D7,ejec_ICPA!$A:$A,ejec_G_publicar!$B7)</f>
        <v>907256314</v>
      </c>
      <c r="I7" s="342">
        <f t="shared" ref="I7:I8" si="4">F7/E7</f>
        <v>0.88630568436387824</v>
      </c>
    </row>
    <row r="8" spans="1:9" s="343" customFormat="1" ht="13.8" x14ac:dyDescent="0.3">
      <c r="A8" s="339" t="s">
        <v>610</v>
      </c>
      <c r="B8" s="340">
        <v>2110103</v>
      </c>
      <c r="C8" s="340">
        <v>999999</v>
      </c>
      <c r="D8" s="341" t="s">
        <v>617</v>
      </c>
      <c r="E8" s="56">
        <f>SUMIFS(ejec_ICPA!$I:$I,ejec_ICPA!$B:$B,ejec_G_publicar!$D8,ejec_ICPA!$A:$A,ejec_G_publicar!$B8)</f>
        <v>216256133</v>
      </c>
      <c r="F8" s="56">
        <f>SUMIFS(ejec_ICPA!$L:$L,ejec_ICPA!$B:$B,ejec_G_publicar!$D8,ejec_ICPA!$A:$A,ejec_G_publicar!$B8)</f>
        <v>185850052</v>
      </c>
      <c r="G8" s="56">
        <f>SUMIFS(ejec_ICPA!$J:$J,ejec_ICPA!$B:$B,ejec_G_publicar!$D8,ejec_ICPA!$A:$A,ejec_G_publicar!$B8)</f>
        <v>185850052</v>
      </c>
      <c r="H8" s="56">
        <f>SUMIFS(ejec_ICPA!$M:$M,ejec_ICPA!$B:$B,ejec_G_publicar!$D8,ejec_ICPA!$A:$A,ejec_G_publicar!$B8)</f>
        <v>185824718</v>
      </c>
      <c r="I8" s="342">
        <f t="shared" si="4"/>
        <v>0.85939783266169845</v>
      </c>
    </row>
    <row r="9" spans="1:9" s="338" customFormat="1" ht="13.8" x14ac:dyDescent="0.3">
      <c r="A9" s="333"/>
      <c r="B9" s="334" t="s">
        <v>962</v>
      </c>
      <c r="C9" s="334">
        <v>999999</v>
      </c>
      <c r="D9" s="335" t="s">
        <v>606</v>
      </c>
      <c r="E9" s="336">
        <f>E10</f>
        <v>2124713617</v>
      </c>
      <c r="F9" s="336">
        <f t="shared" ref="F9:H9" si="5">F10</f>
        <v>1677015949</v>
      </c>
      <c r="G9" s="336">
        <f t="shared" si="5"/>
        <v>1677015949</v>
      </c>
      <c r="H9" s="336">
        <f t="shared" si="5"/>
        <v>1399547837</v>
      </c>
      <c r="I9" s="337"/>
    </row>
    <row r="10" spans="1:9" s="338" customFormat="1" ht="13.8" x14ac:dyDescent="0.3">
      <c r="A10" s="333"/>
      <c r="B10" s="334" t="s">
        <v>963</v>
      </c>
      <c r="C10" s="334">
        <v>999999</v>
      </c>
      <c r="D10" s="335" t="s">
        <v>607</v>
      </c>
      <c r="E10" s="336">
        <f>SUM(E11:E12)</f>
        <v>2124713617</v>
      </c>
      <c r="F10" s="336">
        <f t="shared" ref="F10:H10" si="6">SUM(F11:F12)</f>
        <v>1677015949</v>
      </c>
      <c r="G10" s="336">
        <f t="shared" si="6"/>
        <v>1677015949</v>
      </c>
      <c r="H10" s="336">
        <f t="shared" si="6"/>
        <v>1399547837</v>
      </c>
      <c r="I10" s="337"/>
    </row>
    <row r="11" spans="1:9" s="343" customFormat="1" ht="13.8" x14ac:dyDescent="0.3">
      <c r="A11" s="339" t="s">
        <v>610</v>
      </c>
      <c r="B11" s="340">
        <v>2120201</v>
      </c>
      <c r="C11" s="340">
        <v>999999</v>
      </c>
      <c r="D11" s="341" t="s">
        <v>73</v>
      </c>
      <c r="E11" s="56">
        <f>SUMIFS(ejec_ICPA!$I:$I,ejec_ICPA!$B:$B,ejec_G_publicar!$D11,ejec_ICPA!$A:$A,ejec_G_publicar!$B11)</f>
        <v>83560000</v>
      </c>
      <c r="F11" s="56">
        <f>SUMIFS(ejec_ICPA!$L:$L,ejec_ICPA!$B:$B,ejec_G_publicar!$D11,ejec_ICPA!$A:$A,ejec_G_publicar!$B11)</f>
        <v>61172396</v>
      </c>
      <c r="G11" s="56">
        <f>SUMIFS(ejec_ICPA!$J:$J,ejec_ICPA!$B:$B,ejec_G_publicar!$D11,ejec_ICPA!$A:$A,ejec_G_publicar!$B11)</f>
        <v>61172396</v>
      </c>
      <c r="H11" s="56">
        <f>SUMIFS(ejec_ICPA!$M:$M,ejec_ICPA!$B:$B,ejec_G_publicar!$D11,ejec_ICPA!$A:$A,ejec_G_publicar!$B11)</f>
        <v>31767315</v>
      </c>
      <c r="I11" s="342">
        <f t="shared" ref="I11:I12" si="7">F11/E11</f>
        <v>0.73207750119674486</v>
      </c>
    </row>
    <row r="12" spans="1:9" s="343" customFormat="1" ht="13.8" x14ac:dyDescent="0.3">
      <c r="A12" s="339" t="s">
        <v>610</v>
      </c>
      <c r="B12" s="340">
        <v>2120202</v>
      </c>
      <c r="C12" s="340">
        <v>999999</v>
      </c>
      <c r="D12" s="341" t="s">
        <v>618</v>
      </c>
      <c r="E12" s="56">
        <f>SUMIFS(ejec_ICPA!$I:$I,ejec_ICPA!$B:$B,ejec_G_publicar!$D12,ejec_ICPA!$A:$A,ejec_G_publicar!$B12)</f>
        <v>2041153617</v>
      </c>
      <c r="F12" s="56">
        <f>SUMIFS(ejec_ICPA!$L:$L,ejec_ICPA!$B:$B,ejec_G_publicar!$D12,ejec_ICPA!$A:$A,ejec_G_publicar!$B12)</f>
        <v>1615843553</v>
      </c>
      <c r="G12" s="56">
        <f>SUMIFS(ejec_ICPA!$J:$J,ejec_ICPA!$B:$B,ejec_G_publicar!$D12,ejec_ICPA!$A:$A,ejec_G_publicar!$B12)</f>
        <v>1615843553</v>
      </c>
      <c r="H12" s="56">
        <f>SUMIFS(ejec_ICPA!$M:$M,ejec_ICPA!$B:$B,ejec_G_publicar!$D12,ejec_ICPA!$A:$A,ejec_G_publicar!$B12)</f>
        <v>1367780522</v>
      </c>
      <c r="I12" s="342">
        <f t="shared" si="7"/>
        <v>0.79163250602122615</v>
      </c>
    </row>
    <row r="13" spans="1:9" s="338" customFormat="1" ht="13.8" x14ac:dyDescent="0.3">
      <c r="A13" s="333"/>
      <c r="B13" s="334" t="s">
        <v>964</v>
      </c>
      <c r="C13" s="334">
        <v>999999</v>
      </c>
      <c r="D13" s="335" t="s">
        <v>622</v>
      </c>
      <c r="E13" s="336">
        <f>SUM(E14)</f>
        <v>3200000</v>
      </c>
      <c r="F13" s="336">
        <f t="shared" ref="F13:H13" si="8">SUM(F14)</f>
        <v>478000</v>
      </c>
      <c r="G13" s="336">
        <f t="shared" si="8"/>
        <v>478000</v>
      </c>
      <c r="H13" s="336">
        <f t="shared" si="8"/>
        <v>478000</v>
      </c>
      <c r="I13" s="337"/>
    </row>
    <row r="14" spans="1:9" s="343" customFormat="1" ht="13.8" x14ac:dyDescent="0.3">
      <c r="A14" s="339" t="s">
        <v>610</v>
      </c>
      <c r="B14" s="340">
        <v>21313</v>
      </c>
      <c r="C14" s="340">
        <v>999999</v>
      </c>
      <c r="D14" s="341" t="s">
        <v>103</v>
      </c>
      <c r="E14" s="56">
        <f>SUMIFS(ejec_ICPA!$I:$I,ejec_ICPA!$B:$B,ejec_G_publicar!$D14,ejec_ICPA!$A:$A,ejec_G_publicar!$B14)</f>
        <v>3200000</v>
      </c>
      <c r="F14" s="56">
        <f>SUMIFS(ejec_ICPA!$L:$L,ejec_ICPA!$B:$B,ejec_G_publicar!$D14,ejec_ICPA!$A:$A,ejec_G_publicar!$B14)</f>
        <v>478000</v>
      </c>
      <c r="G14" s="56">
        <f>SUMIFS(ejec_ICPA!$J:$J,ejec_ICPA!$B:$B,ejec_G_publicar!$D14,ejec_ICPA!$A:$A,ejec_G_publicar!$B14)</f>
        <v>478000</v>
      </c>
      <c r="H14" s="56">
        <f>SUMIFS(ejec_ICPA!$M:$M,ejec_ICPA!$B:$B,ejec_G_publicar!$D14,ejec_ICPA!$A:$A,ejec_G_publicar!$B14)</f>
        <v>478000</v>
      </c>
      <c r="I14" s="342">
        <f>F14/E14</f>
        <v>0.14937500000000001</v>
      </c>
    </row>
    <row r="15" spans="1:9" s="338" customFormat="1" ht="13.8" x14ac:dyDescent="0.3">
      <c r="A15" s="333"/>
      <c r="B15" s="334" t="s">
        <v>965</v>
      </c>
      <c r="C15" s="334">
        <v>999999</v>
      </c>
      <c r="D15" s="335" t="s">
        <v>624</v>
      </c>
      <c r="E15" s="336">
        <f>SUM(E16)</f>
        <v>45000000</v>
      </c>
      <c r="F15" s="336">
        <f t="shared" ref="F15:H15" si="9">SUM(F16)</f>
        <v>25000000</v>
      </c>
      <c r="G15" s="336">
        <f t="shared" si="9"/>
        <v>25000000</v>
      </c>
      <c r="H15" s="336">
        <f t="shared" si="9"/>
        <v>10142487</v>
      </c>
      <c r="I15" s="337"/>
    </row>
    <row r="16" spans="1:9" s="343" customFormat="1" ht="13.8" x14ac:dyDescent="0.3">
      <c r="A16" s="339" t="s">
        <v>610</v>
      </c>
      <c r="B16" s="340">
        <v>21701</v>
      </c>
      <c r="C16" s="340">
        <v>999999</v>
      </c>
      <c r="D16" s="341" t="s">
        <v>625</v>
      </c>
      <c r="E16" s="56">
        <f>SUMIFS(ejec_ICPA!$I:$I,ejec_ICPA!$B:$B,ejec_G_publicar!$D16,ejec_ICPA!$A:$A,ejec_G_publicar!$B16)</f>
        <v>45000000</v>
      </c>
      <c r="F16" s="56">
        <f>SUMIFS(ejec_ICPA!$L:$L,ejec_ICPA!$B:$B,ejec_G_publicar!$D16,ejec_ICPA!$A:$A,ejec_G_publicar!$B16)</f>
        <v>25000000</v>
      </c>
      <c r="G16" s="56">
        <f>SUMIFS(ejec_ICPA!$J:$J,ejec_ICPA!$B:$B,ejec_G_publicar!$D16,ejec_ICPA!$A:$A,ejec_G_publicar!$B16)</f>
        <v>25000000</v>
      </c>
      <c r="H16" s="56">
        <f>SUMIFS(ejec_ICPA!$M:$M,ejec_ICPA!$B:$B,ejec_G_publicar!$D16,ejec_ICPA!$A:$A,ejec_G_publicar!$B16)</f>
        <v>10142487</v>
      </c>
      <c r="I16" s="342">
        <f>F16/E16</f>
        <v>0.55555555555555558</v>
      </c>
    </row>
    <row r="17" spans="1:9" s="338" customFormat="1" ht="27.6" x14ac:dyDescent="0.3">
      <c r="A17" s="333"/>
      <c r="B17" s="334" t="s">
        <v>966</v>
      </c>
      <c r="C17" s="334">
        <v>999999</v>
      </c>
      <c r="D17" s="335" t="s">
        <v>626</v>
      </c>
      <c r="E17" s="336">
        <f>SUM(E18:E19)</f>
        <v>32060000</v>
      </c>
      <c r="F17" s="336">
        <f t="shared" ref="F17:H17" si="10">SUM(F18:F19)</f>
        <v>27992715</v>
      </c>
      <c r="G17" s="336">
        <f t="shared" si="10"/>
        <v>27992715</v>
      </c>
      <c r="H17" s="336">
        <f t="shared" si="10"/>
        <v>27992715</v>
      </c>
      <c r="I17" s="337"/>
    </row>
    <row r="18" spans="1:9" s="343" customFormat="1" ht="13.8" x14ac:dyDescent="0.3">
      <c r="A18" s="339" t="s">
        <v>610</v>
      </c>
      <c r="B18" s="340">
        <v>21804</v>
      </c>
      <c r="C18" s="340">
        <v>999999</v>
      </c>
      <c r="D18" s="341" t="s">
        <v>627</v>
      </c>
      <c r="E18" s="56">
        <f>SUMIFS(ejec_ICPA!$I:$I,ejec_ICPA!$B:$B,ejec_G_publicar!$D18,ejec_ICPA!$A:$A,ejec_G_publicar!$B18)</f>
        <v>30000000</v>
      </c>
      <c r="F18" s="56">
        <f>SUMIFS(ejec_ICPA!$L:$L,ejec_ICPA!$B:$B,ejec_G_publicar!$D18,ejec_ICPA!$A:$A,ejec_G_publicar!$B18)</f>
        <v>27992715</v>
      </c>
      <c r="G18" s="56">
        <f>SUMIFS(ejec_ICPA!$J:$J,ejec_ICPA!$B:$B,ejec_G_publicar!$D18,ejec_ICPA!$A:$A,ejec_G_publicar!$B18)</f>
        <v>27992715</v>
      </c>
      <c r="H18" s="56">
        <f>SUMIFS(ejec_ICPA!$M:$M,ejec_ICPA!$B:$B,ejec_G_publicar!$D18,ejec_ICPA!$A:$A,ejec_G_publicar!$B18)</f>
        <v>27992715</v>
      </c>
      <c r="I18" s="342">
        <f>F18/E18</f>
        <v>0.93309050000000004</v>
      </c>
    </row>
    <row r="19" spans="1:9" s="343" customFormat="1" ht="13.8" x14ac:dyDescent="0.3">
      <c r="A19" s="339" t="s">
        <v>610</v>
      </c>
      <c r="B19" s="340">
        <v>21805</v>
      </c>
      <c r="C19" s="340">
        <v>999999</v>
      </c>
      <c r="D19" s="341" t="s">
        <v>628</v>
      </c>
      <c r="E19" s="56">
        <f>SUMIFS(ejec_ICPA!$I:$I,ejec_ICPA!$B:$B,ejec_G_publicar!$D19,ejec_ICPA!$A:$A,ejec_G_publicar!$B19)</f>
        <v>2060000</v>
      </c>
      <c r="F19" s="56">
        <f>SUMIFS(ejec_ICPA!$L:$L,ejec_ICPA!$B:$B,ejec_G_publicar!$D19,ejec_ICPA!$A:$A,ejec_G_publicar!$B19)</f>
        <v>0</v>
      </c>
      <c r="G19" s="56">
        <f>SUMIFS(ejec_ICPA!$J:$J,ejec_ICPA!$B:$B,ejec_G_publicar!$D19,ejec_ICPA!$A:$A,ejec_G_publicar!$B19)</f>
        <v>0</v>
      </c>
      <c r="H19" s="56">
        <f>SUMIFS(ejec_ICPA!$M:$M,ejec_ICPA!$B:$B,ejec_G_publicar!$D19,ejec_ICPA!$A:$A,ejec_G_publicar!$B19)</f>
        <v>0</v>
      </c>
      <c r="I19" s="342">
        <f>F19/E19</f>
        <v>0</v>
      </c>
    </row>
    <row r="20" spans="1:9" s="338" customFormat="1" ht="13.8" x14ac:dyDescent="0.3">
      <c r="A20" s="333" t="s">
        <v>967</v>
      </c>
      <c r="B20" s="334" t="s">
        <v>674</v>
      </c>
      <c r="C20" s="334"/>
      <c r="D20" s="335" t="s">
        <v>630</v>
      </c>
      <c r="E20" s="336">
        <v>0</v>
      </c>
      <c r="F20" s="336">
        <v>0</v>
      </c>
      <c r="G20" s="336">
        <v>0</v>
      </c>
      <c r="H20" s="336">
        <v>0</v>
      </c>
      <c r="I20" s="337">
        <v>0</v>
      </c>
    </row>
    <row r="21" spans="1:9" s="338" customFormat="1" ht="14.4" x14ac:dyDescent="0.3">
      <c r="A21" s="344"/>
      <c r="B21" s="334">
        <v>23</v>
      </c>
      <c r="C21" s="334"/>
      <c r="D21" s="335" t="s">
        <v>631</v>
      </c>
      <c r="E21" s="336">
        <f>SUM(E22:E30)</f>
        <v>17632584138</v>
      </c>
      <c r="F21" s="336">
        <f t="shared" ref="F21:H21" si="11">SUM(F22:F30)</f>
        <v>12801767300</v>
      </c>
      <c r="G21" s="336">
        <f t="shared" si="11"/>
        <v>12801767300</v>
      </c>
      <c r="H21" s="336">
        <f t="shared" si="11"/>
        <v>11236314185</v>
      </c>
      <c r="I21" s="345"/>
    </row>
    <row r="22" spans="1:9" ht="13.8" x14ac:dyDescent="0.3">
      <c r="A22" s="339" t="s">
        <v>631</v>
      </c>
      <c r="B22" s="340">
        <v>23</v>
      </c>
      <c r="C22" s="346" t="s">
        <v>755</v>
      </c>
      <c r="D22" s="347" t="s">
        <v>421</v>
      </c>
      <c r="E22" s="56">
        <f>SUMIFS(ejec_ICPA!$I:$I,ejec_ICPA!$B:$B,ejec_G_publicar!$D22)</f>
        <v>2725000000</v>
      </c>
      <c r="F22" s="56">
        <f>SUMIFS(ejec_ICPA!$L:$L,ejec_ICPA!$B:$B,ejec_G_publicar!$D22)</f>
        <v>2718443828</v>
      </c>
      <c r="G22" s="56">
        <f>SUMIFS(ejec_ICPA!$J:$J,ejec_ICPA!$B:$B,ejec_G_publicar!$D22)</f>
        <v>2718443828</v>
      </c>
      <c r="H22" s="56">
        <f>SUMIFS(ejec_ICPA!$M:$M,ejec_ICPA!$B:$B,ejec_G_publicar!$D22)</f>
        <v>2718443828</v>
      </c>
      <c r="I22" s="342">
        <f t="shared" ref="I22:I30" si="12">F22/E22</f>
        <v>0.99759406532110095</v>
      </c>
    </row>
    <row r="23" spans="1:9" ht="27.6" x14ac:dyDescent="0.3">
      <c r="A23" s="339" t="s">
        <v>631</v>
      </c>
      <c r="B23" s="340">
        <v>23</v>
      </c>
      <c r="C23" s="348" t="s">
        <v>756</v>
      </c>
      <c r="D23" s="347" t="s">
        <v>361</v>
      </c>
      <c r="E23" s="56">
        <f>SUMIFS(ejec_ICPA!$I:$I,ejec_ICPA!$B:$B,ejec_G_publicar!$D23)</f>
        <v>1993363725</v>
      </c>
      <c r="F23" s="56">
        <f>SUMIFS(ejec_ICPA!$L:$L,ejec_ICPA!$B:$B,ejec_G_publicar!$D23)</f>
        <v>1332938839</v>
      </c>
      <c r="G23" s="56">
        <f>SUMIFS(ejec_ICPA!$J:$J,ejec_ICPA!$B:$B,ejec_G_publicar!$D23)</f>
        <v>1332938839</v>
      </c>
      <c r="H23" s="56">
        <f>SUMIFS(ejec_ICPA!$M:$M,ejec_ICPA!$B:$B,ejec_G_publicar!$D23)</f>
        <v>1254226553</v>
      </c>
      <c r="I23" s="342">
        <f t="shared" si="12"/>
        <v>0.6686882189551232</v>
      </c>
    </row>
    <row r="24" spans="1:9" ht="27.6" x14ac:dyDescent="0.3">
      <c r="A24" s="339" t="s">
        <v>631</v>
      </c>
      <c r="B24" s="340">
        <v>23</v>
      </c>
      <c r="C24" s="348" t="s">
        <v>759</v>
      </c>
      <c r="D24" s="347" t="s">
        <v>471</v>
      </c>
      <c r="E24" s="56">
        <f>SUMIFS(ejec_ICPA!$I:$I,ejec_ICPA!$B:$B,ejec_G_publicar!$D24)</f>
        <v>1366748154</v>
      </c>
      <c r="F24" s="56">
        <f>SUMIFS(ejec_ICPA!$L:$L,ejec_ICPA!$B:$B,ejec_G_publicar!$D24)</f>
        <v>632859997</v>
      </c>
      <c r="G24" s="56">
        <f>SUMIFS(ejec_ICPA!$J:$J,ejec_ICPA!$B:$B,ejec_G_publicar!$D24)</f>
        <v>632859997</v>
      </c>
      <c r="H24" s="56">
        <f>SUMIFS(ejec_ICPA!$M:$M,ejec_ICPA!$B:$B,ejec_G_publicar!$D24)</f>
        <v>232459997</v>
      </c>
      <c r="I24" s="342">
        <f t="shared" si="12"/>
        <v>0.46304068174362428</v>
      </c>
    </row>
    <row r="25" spans="1:9" ht="27.6" x14ac:dyDescent="0.3">
      <c r="A25" s="339" t="s">
        <v>631</v>
      </c>
      <c r="B25" s="340">
        <v>23</v>
      </c>
      <c r="C25" s="346" t="s">
        <v>757</v>
      </c>
      <c r="D25" s="347" t="s">
        <v>384</v>
      </c>
      <c r="E25" s="56">
        <f>SUMIFS(ejec_ICPA!$I:$I,ejec_ICPA!$B:$B,ejec_G_publicar!$D25)</f>
        <v>3717118667</v>
      </c>
      <c r="F25" s="56">
        <f>SUMIFS(ejec_ICPA!$L:$L,ejec_ICPA!$B:$B,ejec_G_publicar!$D25)</f>
        <v>3076688939</v>
      </c>
      <c r="G25" s="56">
        <f>SUMIFS(ejec_ICPA!$J:$J,ejec_ICPA!$B:$B,ejec_G_publicar!$D25)</f>
        <v>3076688939</v>
      </c>
      <c r="H25" s="56">
        <f>SUMIFS(ejec_ICPA!$M:$M,ejec_ICPA!$B:$B,ejec_G_publicar!$D25)</f>
        <v>3070688939</v>
      </c>
      <c r="I25" s="342">
        <f t="shared" si="12"/>
        <v>0.82770802189189296</v>
      </c>
    </row>
    <row r="26" spans="1:9" ht="27.6" x14ac:dyDescent="0.3">
      <c r="A26" s="339" t="s">
        <v>631</v>
      </c>
      <c r="B26" s="340">
        <v>23</v>
      </c>
      <c r="C26" s="346" t="s">
        <v>763</v>
      </c>
      <c r="D26" s="347" t="s">
        <v>448</v>
      </c>
      <c r="E26" s="56">
        <f>SUMIFS(ejec_ICPA!$I:$I,ejec_ICPA!$B:$B,ejec_G_publicar!$D26)</f>
        <v>2119296467</v>
      </c>
      <c r="F26" s="56">
        <f>SUMIFS(ejec_ICPA!$L:$L,ejec_ICPA!$B:$B,ejec_G_publicar!$D26)</f>
        <v>1529698873</v>
      </c>
      <c r="G26" s="56">
        <f>SUMIFS(ejec_ICPA!$J:$J,ejec_ICPA!$B:$B,ejec_G_publicar!$D26)</f>
        <v>1529698873</v>
      </c>
      <c r="H26" s="56">
        <f>SUMIFS(ejec_ICPA!$M:$M,ejec_ICPA!$B:$B,ejec_G_publicar!$D26)</f>
        <v>1054710229</v>
      </c>
      <c r="I26" s="342">
        <f t="shared" si="12"/>
        <v>0.72179560378609364</v>
      </c>
    </row>
    <row r="27" spans="1:9" ht="27.6" x14ac:dyDescent="0.3">
      <c r="A27" s="339" t="s">
        <v>631</v>
      </c>
      <c r="B27" s="340">
        <v>23</v>
      </c>
      <c r="C27" s="346" t="s">
        <v>761</v>
      </c>
      <c r="D27" s="347" t="s">
        <v>499</v>
      </c>
      <c r="E27" s="56">
        <f>SUMIFS(ejec_ICPA!$I:$I,ejec_ICPA!$B:$B,ejec_G_publicar!$D27)</f>
        <v>1019925471</v>
      </c>
      <c r="F27" s="56">
        <f>SUMIFS(ejec_ICPA!$L:$L,ejec_ICPA!$B:$B,ejec_G_publicar!$D27)</f>
        <v>628041556</v>
      </c>
      <c r="G27" s="56">
        <f>SUMIFS(ejec_ICPA!$J:$J,ejec_ICPA!$B:$B,ejec_G_publicar!$D27)</f>
        <v>628041556</v>
      </c>
      <c r="H27" s="56">
        <f>SUMIFS(ejec_ICPA!$M:$M,ejec_ICPA!$B:$B,ejec_G_publicar!$D27)</f>
        <v>365202720</v>
      </c>
      <c r="I27" s="342">
        <f t="shared" si="12"/>
        <v>0.6157720086980748</v>
      </c>
    </row>
    <row r="28" spans="1:9" ht="13.8" x14ac:dyDescent="0.3">
      <c r="A28" s="339" t="s">
        <v>631</v>
      </c>
      <c r="B28" s="340">
        <v>23</v>
      </c>
      <c r="C28" s="346" t="s">
        <v>758</v>
      </c>
      <c r="D28" s="347" t="s">
        <v>434</v>
      </c>
      <c r="E28" s="56">
        <f>SUMIFS(ejec_ICPA!$I:$I,ejec_ICPA!$B:$B,ejec_G_publicar!$D28)</f>
        <v>3310000000</v>
      </c>
      <c r="F28" s="56">
        <f>SUMIFS(ejec_ICPA!$L:$L,ejec_ICPA!$B:$B,ejec_G_publicar!$D28)</f>
        <v>1680592848</v>
      </c>
      <c r="G28" s="56">
        <f>SUMIFS(ejec_ICPA!$J:$J,ejec_ICPA!$B:$B,ejec_G_publicar!$D28)</f>
        <v>1680592848</v>
      </c>
      <c r="H28" s="56">
        <f>SUMIFS(ejec_ICPA!$M:$M,ejec_ICPA!$B:$B,ejec_G_publicar!$D28)</f>
        <v>1680592848</v>
      </c>
      <c r="I28" s="342">
        <f t="shared" si="12"/>
        <v>0.50773197824773408</v>
      </c>
    </row>
    <row r="29" spans="1:9" ht="13.8" x14ac:dyDescent="0.3">
      <c r="A29" s="339" t="s">
        <v>631</v>
      </c>
      <c r="B29" s="340">
        <v>23</v>
      </c>
      <c r="C29" s="346" t="s">
        <v>762</v>
      </c>
      <c r="D29" s="347" t="s">
        <v>486</v>
      </c>
      <c r="E29" s="56">
        <f>SUMIFS(ejec_ICPA!$I:$I,ejec_ICPA!$B:$B,ejec_G_publicar!$D29)</f>
        <v>727464683</v>
      </c>
      <c r="F29" s="56">
        <f>SUMIFS(ejec_ICPA!$L:$L,ejec_ICPA!$B:$B,ejec_G_publicar!$D29)</f>
        <v>582391020</v>
      </c>
      <c r="G29" s="56">
        <f>SUMIFS(ejec_ICPA!$J:$J,ejec_ICPA!$B:$B,ejec_G_publicar!$D29)</f>
        <v>582391020</v>
      </c>
      <c r="H29" s="56">
        <f>SUMIFS(ejec_ICPA!$M:$M,ejec_ICPA!$B:$B,ejec_G_publicar!$D29)</f>
        <v>309706871</v>
      </c>
      <c r="I29" s="342">
        <f t="shared" si="12"/>
        <v>0.80057634907892838</v>
      </c>
    </row>
    <row r="30" spans="1:9" ht="27.6" x14ac:dyDescent="0.3">
      <c r="A30" s="339" t="s">
        <v>631</v>
      </c>
      <c r="B30" s="340">
        <v>23</v>
      </c>
      <c r="C30" s="346" t="s">
        <v>760</v>
      </c>
      <c r="D30" s="347" t="s">
        <v>479</v>
      </c>
      <c r="E30" s="56">
        <f>SUMIFS(ejec_ICPA!$I:$I,ejec_ICPA!$B:$B,ejec_G_publicar!$D30)</f>
        <v>653666971</v>
      </c>
      <c r="F30" s="56">
        <f>SUMIFS(ejec_ICPA!$L:$L,ejec_ICPA!$B:$B,ejec_G_publicar!$D30)</f>
        <v>620111400</v>
      </c>
      <c r="G30" s="56">
        <f>SUMIFS(ejec_ICPA!$J:$J,ejec_ICPA!$B:$B,ejec_G_publicar!$D30)</f>
        <v>620111400</v>
      </c>
      <c r="H30" s="56">
        <f>SUMIFS(ejec_ICPA!$M:$M,ejec_ICPA!$B:$B,ejec_G_publicar!$D30)</f>
        <v>550282200</v>
      </c>
      <c r="I30" s="342">
        <f t="shared" si="12"/>
        <v>0.94866564705163914</v>
      </c>
    </row>
    <row r="31" spans="1:9" x14ac:dyDescent="0.25">
      <c r="A31" s="349"/>
      <c r="B31"/>
    </row>
    <row r="32" spans="1:9" x14ac:dyDescent="0.25">
      <c r="A32" s="349"/>
      <c r="B32"/>
    </row>
    <row r="33" spans="1:2" x14ac:dyDescent="0.25">
      <c r="A33" s="349"/>
      <c r="B33"/>
    </row>
    <row r="34" spans="1:2" x14ac:dyDescent="0.25">
      <c r="A34" s="349"/>
      <c r="B34"/>
    </row>
    <row r="35" spans="1:2" x14ac:dyDescent="0.25">
      <c r="A35" s="349"/>
      <c r="B35"/>
    </row>
    <row r="36" spans="1:2" x14ac:dyDescent="0.25">
      <c r="A36" s="349"/>
      <c r="B36"/>
    </row>
    <row r="37" spans="1:2" x14ac:dyDescent="0.25">
      <c r="A37" s="349"/>
      <c r="B37"/>
    </row>
    <row r="38" spans="1:2" x14ac:dyDescent="0.25">
      <c r="A38" s="349"/>
      <c r="B38"/>
    </row>
    <row r="39" spans="1:2" x14ac:dyDescent="0.25">
      <c r="A39" s="349"/>
      <c r="B39"/>
    </row>
    <row r="40" spans="1:2" x14ac:dyDescent="0.25">
      <c r="A40" s="349"/>
      <c r="B40"/>
    </row>
    <row r="41" spans="1:2" x14ac:dyDescent="0.25">
      <c r="A41" s="349"/>
      <c r="B41"/>
    </row>
    <row r="42" spans="1:2" x14ac:dyDescent="0.25">
      <c r="A42" s="349"/>
      <c r="B42"/>
    </row>
    <row r="43" spans="1:2" x14ac:dyDescent="0.25">
      <c r="A43" s="349"/>
      <c r="B43"/>
    </row>
    <row r="44" spans="1:2" x14ac:dyDescent="0.25">
      <c r="A44" s="349"/>
      <c r="B44"/>
    </row>
    <row r="45" spans="1:2" x14ac:dyDescent="0.25">
      <c r="A45" s="349"/>
      <c r="B45"/>
    </row>
    <row r="46" spans="1:2" x14ac:dyDescent="0.25">
      <c r="A46" s="349"/>
      <c r="B46"/>
    </row>
    <row r="47" spans="1:2" x14ac:dyDescent="0.25">
      <c r="A47" s="349"/>
      <c r="B47"/>
    </row>
    <row r="48" spans="1:2" x14ac:dyDescent="0.25">
      <c r="A48" s="349"/>
      <c r="B48"/>
    </row>
    <row r="49" spans="1:2" x14ac:dyDescent="0.25">
      <c r="A49" s="349"/>
      <c r="B49"/>
    </row>
    <row r="50" spans="1:2" x14ac:dyDescent="0.25">
      <c r="A50" s="349"/>
      <c r="B50"/>
    </row>
    <row r="51" spans="1:2" x14ac:dyDescent="0.25">
      <c r="A51" s="349"/>
      <c r="B51"/>
    </row>
    <row r="52" spans="1:2" x14ac:dyDescent="0.25">
      <c r="A52" s="349"/>
      <c r="B52"/>
    </row>
    <row r="53" spans="1:2" x14ac:dyDescent="0.25">
      <c r="A53" s="349"/>
      <c r="B53"/>
    </row>
    <row r="54" spans="1:2" x14ac:dyDescent="0.25">
      <c r="A54" s="349"/>
      <c r="B54"/>
    </row>
    <row r="55" spans="1:2" x14ac:dyDescent="0.25">
      <c r="A55" s="349"/>
      <c r="B55"/>
    </row>
    <row r="56" spans="1:2" x14ac:dyDescent="0.25">
      <c r="A56" s="349"/>
      <c r="B56"/>
    </row>
    <row r="57" spans="1:2" x14ac:dyDescent="0.25">
      <c r="A57" s="349"/>
      <c r="B57"/>
    </row>
    <row r="58" spans="1:2" x14ac:dyDescent="0.25">
      <c r="A58" s="349"/>
      <c r="B58"/>
    </row>
    <row r="59" spans="1:2" x14ac:dyDescent="0.25">
      <c r="A59" s="349"/>
      <c r="B59"/>
    </row>
    <row r="60" spans="1:2" x14ac:dyDescent="0.25">
      <c r="A60" s="349"/>
      <c r="B60"/>
    </row>
    <row r="61" spans="1:2" x14ac:dyDescent="0.25">
      <c r="A61" s="349"/>
      <c r="B61"/>
    </row>
    <row r="62" spans="1:2" x14ac:dyDescent="0.25">
      <c r="A62" s="349"/>
      <c r="B62"/>
    </row>
    <row r="63" spans="1:2" x14ac:dyDescent="0.25">
      <c r="A63" s="349"/>
      <c r="B63"/>
    </row>
    <row r="64" spans="1:2" x14ac:dyDescent="0.25">
      <c r="A64" s="349"/>
      <c r="B64"/>
    </row>
    <row r="65" spans="1:2" x14ac:dyDescent="0.25">
      <c r="A65" s="349"/>
      <c r="B65"/>
    </row>
    <row r="66" spans="1:2" x14ac:dyDescent="0.25">
      <c r="A66" s="349"/>
      <c r="B66"/>
    </row>
    <row r="67" spans="1:2" x14ac:dyDescent="0.25">
      <c r="A67" s="349"/>
      <c r="B67"/>
    </row>
    <row r="68" spans="1:2" x14ac:dyDescent="0.25">
      <c r="A68" s="349"/>
      <c r="B68"/>
    </row>
    <row r="69" spans="1:2" x14ac:dyDescent="0.25">
      <c r="A69" s="349"/>
      <c r="B69"/>
    </row>
    <row r="70" spans="1:2" x14ac:dyDescent="0.25">
      <c r="A70" s="349"/>
      <c r="B70"/>
    </row>
    <row r="71" spans="1:2" x14ac:dyDescent="0.25">
      <c r="A71" s="349"/>
      <c r="B71"/>
    </row>
    <row r="72" spans="1:2" x14ac:dyDescent="0.25">
      <c r="A72" s="349"/>
      <c r="B72"/>
    </row>
    <row r="73" spans="1:2" x14ac:dyDescent="0.25">
      <c r="A73" s="349"/>
      <c r="B73"/>
    </row>
    <row r="74" spans="1:2" x14ac:dyDescent="0.25">
      <c r="A74" s="349"/>
      <c r="B74"/>
    </row>
    <row r="75" spans="1:2" x14ac:dyDescent="0.25">
      <c r="A75" s="349"/>
      <c r="B75"/>
    </row>
    <row r="76" spans="1:2" x14ac:dyDescent="0.25">
      <c r="A76" s="349"/>
      <c r="B76"/>
    </row>
    <row r="77" spans="1:2" x14ac:dyDescent="0.25">
      <c r="A77" s="349"/>
      <c r="B77"/>
    </row>
    <row r="78" spans="1:2" x14ac:dyDescent="0.25">
      <c r="A78" s="349"/>
      <c r="B78"/>
    </row>
    <row r="79" spans="1:2" x14ac:dyDescent="0.25">
      <c r="A79" s="349"/>
      <c r="B79"/>
    </row>
    <row r="80" spans="1:2" x14ac:dyDescent="0.25">
      <c r="A80" s="349"/>
      <c r="B80"/>
    </row>
    <row r="81" spans="1:2" x14ac:dyDescent="0.25">
      <c r="A81" s="349"/>
      <c r="B81"/>
    </row>
    <row r="82" spans="1:2" x14ac:dyDescent="0.25">
      <c r="A82" s="349"/>
      <c r="B82"/>
    </row>
    <row r="83" spans="1:2" x14ac:dyDescent="0.25">
      <c r="A83" s="349"/>
      <c r="B83"/>
    </row>
    <row r="84" spans="1:2" x14ac:dyDescent="0.25">
      <c r="A84" s="349"/>
      <c r="B84"/>
    </row>
    <row r="85" spans="1:2" x14ac:dyDescent="0.25">
      <c r="A85" s="349"/>
      <c r="B85"/>
    </row>
    <row r="86" spans="1:2" x14ac:dyDescent="0.25">
      <c r="A86" s="349"/>
      <c r="B86"/>
    </row>
    <row r="87" spans="1:2" x14ac:dyDescent="0.25">
      <c r="A87" s="349"/>
      <c r="B87"/>
    </row>
    <row r="88" spans="1:2" x14ac:dyDescent="0.25">
      <c r="A88" s="349"/>
      <c r="B88"/>
    </row>
    <row r="89" spans="1:2" x14ac:dyDescent="0.25">
      <c r="A89" s="349"/>
      <c r="B89"/>
    </row>
    <row r="90" spans="1:2" x14ac:dyDescent="0.25">
      <c r="A90" s="349"/>
      <c r="B90"/>
    </row>
    <row r="91" spans="1:2" x14ac:dyDescent="0.25">
      <c r="A91" s="349"/>
      <c r="B91"/>
    </row>
    <row r="92" spans="1:2" x14ac:dyDescent="0.25">
      <c r="A92" s="349"/>
      <c r="B92"/>
    </row>
    <row r="93" spans="1:2" x14ac:dyDescent="0.25">
      <c r="A93" s="349"/>
      <c r="B93"/>
    </row>
    <row r="94" spans="1:2" x14ac:dyDescent="0.25">
      <c r="A94" s="349"/>
      <c r="B94"/>
    </row>
    <row r="95" spans="1:2" x14ac:dyDescent="0.25">
      <c r="A95" s="349"/>
      <c r="B95"/>
    </row>
    <row r="96" spans="1:2" x14ac:dyDescent="0.25">
      <c r="A96" s="349"/>
      <c r="B96"/>
    </row>
    <row r="97" spans="1:2" x14ac:dyDescent="0.25">
      <c r="A97" s="349"/>
      <c r="B97"/>
    </row>
    <row r="98" spans="1:2" x14ac:dyDescent="0.25">
      <c r="A98" s="349"/>
      <c r="B98"/>
    </row>
    <row r="99" spans="1:2" x14ac:dyDescent="0.25">
      <c r="A99" s="349"/>
      <c r="B99"/>
    </row>
    <row r="100" spans="1:2" x14ac:dyDescent="0.25">
      <c r="A100" s="349"/>
      <c r="B100"/>
    </row>
    <row r="101" spans="1:2" x14ac:dyDescent="0.25">
      <c r="A101" s="349"/>
      <c r="B101"/>
    </row>
    <row r="102" spans="1:2" x14ac:dyDescent="0.25">
      <c r="A102" s="349"/>
      <c r="B102"/>
    </row>
    <row r="103" spans="1:2" x14ac:dyDescent="0.25">
      <c r="A103" s="349"/>
      <c r="B103"/>
    </row>
    <row r="104" spans="1:2" x14ac:dyDescent="0.25">
      <c r="A104" s="349"/>
      <c r="B104"/>
    </row>
    <row r="105" spans="1:2" x14ac:dyDescent="0.25">
      <c r="A105" s="349"/>
      <c r="B105"/>
    </row>
    <row r="106" spans="1:2" x14ac:dyDescent="0.25">
      <c r="A106" s="349"/>
      <c r="B106"/>
    </row>
    <row r="107" spans="1:2" x14ac:dyDescent="0.25">
      <c r="A107" s="349"/>
      <c r="B107"/>
    </row>
    <row r="108" spans="1:2" x14ac:dyDescent="0.25">
      <c r="A108" s="349"/>
      <c r="B108"/>
    </row>
    <row r="109" spans="1:2" x14ac:dyDescent="0.25">
      <c r="A109" s="349"/>
      <c r="B109"/>
    </row>
    <row r="110" spans="1:2" x14ac:dyDescent="0.25">
      <c r="A110" s="349"/>
      <c r="B110"/>
    </row>
    <row r="111" spans="1:2" x14ac:dyDescent="0.25">
      <c r="A111" s="349"/>
      <c r="B111"/>
    </row>
    <row r="112" spans="1:2" x14ac:dyDescent="0.25">
      <c r="A112" s="349"/>
      <c r="B112"/>
    </row>
    <row r="113" spans="1:2" x14ac:dyDescent="0.25">
      <c r="A113" s="349"/>
      <c r="B113"/>
    </row>
    <row r="114" spans="1:2" x14ac:dyDescent="0.25">
      <c r="A114" s="349"/>
      <c r="B114"/>
    </row>
    <row r="115" spans="1:2" x14ac:dyDescent="0.25">
      <c r="A115" s="349"/>
      <c r="B115"/>
    </row>
    <row r="116" spans="1:2" x14ac:dyDescent="0.25">
      <c r="A116" s="349"/>
      <c r="B116"/>
    </row>
    <row r="117" spans="1:2" x14ac:dyDescent="0.25">
      <c r="A117" s="349"/>
      <c r="B11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2"/>
  <sheetViews>
    <sheetView topLeftCell="G1" workbookViewId="0">
      <selection activeCell="E12" sqref="E12"/>
    </sheetView>
  </sheetViews>
  <sheetFormatPr baseColWidth="10" defaultRowHeight="13.2" x14ac:dyDescent="0.25"/>
  <sheetData>
    <row r="1" spans="1:35"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244</v>
      </c>
      <c r="Z1" t="s">
        <v>24</v>
      </c>
      <c r="AA1" t="s">
        <v>245</v>
      </c>
      <c r="AB1" t="s">
        <v>246</v>
      </c>
      <c r="AC1" t="s">
        <v>247</v>
      </c>
      <c r="AD1" t="s">
        <v>248</v>
      </c>
      <c r="AE1" t="s">
        <v>249</v>
      </c>
      <c r="AF1" t="s">
        <v>250</v>
      </c>
      <c r="AG1" t="s">
        <v>251</v>
      </c>
      <c r="AH1" t="s">
        <v>252</v>
      </c>
      <c r="AI1" t="s">
        <v>253</v>
      </c>
    </row>
    <row r="2" spans="1:35" x14ac:dyDescent="0.25">
      <c r="A2" t="s">
        <v>26</v>
      </c>
      <c r="B2" t="s">
        <v>27</v>
      </c>
      <c r="C2" t="s">
        <v>28</v>
      </c>
      <c r="D2" t="s">
        <v>29</v>
      </c>
      <c r="E2" t="s">
        <v>30</v>
      </c>
      <c r="F2" t="s">
        <v>48</v>
      </c>
      <c r="G2" t="s">
        <v>31</v>
      </c>
      <c r="H2" t="s">
        <v>32</v>
      </c>
      <c r="I2" t="s">
        <v>33</v>
      </c>
      <c r="J2" t="s">
        <v>34</v>
      </c>
      <c r="K2" t="s">
        <v>35</v>
      </c>
      <c r="L2" t="s">
        <v>49</v>
      </c>
      <c r="M2" t="s">
        <v>52</v>
      </c>
      <c r="N2">
        <v>7744</v>
      </c>
      <c r="O2">
        <v>8</v>
      </c>
      <c r="P2" t="s">
        <v>53</v>
      </c>
      <c r="Q2">
        <v>156217756</v>
      </c>
      <c r="R2">
        <v>156217756</v>
      </c>
      <c r="S2">
        <v>44816671</v>
      </c>
      <c r="T2">
        <v>156217756</v>
      </c>
      <c r="U2">
        <v>0</v>
      </c>
      <c r="V2">
        <v>156217756</v>
      </c>
      <c r="W2">
        <v>111401085</v>
      </c>
      <c r="X2">
        <v>111401085</v>
      </c>
      <c r="Y2">
        <v>0</v>
      </c>
      <c r="Z2">
        <v>44816671</v>
      </c>
      <c r="AA2">
        <v>0</v>
      </c>
      <c r="AB2" t="s">
        <v>254</v>
      </c>
      <c r="AC2" t="s">
        <v>255</v>
      </c>
      <c r="AD2" t="s">
        <v>256</v>
      </c>
      <c r="AE2" t="s">
        <v>256</v>
      </c>
      <c r="AF2" t="s">
        <v>256</v>
      </c>
      <c r="AG2" t="s">
        <v>256</v>
      </c>
      <c r="AH2" t="s">
        <v>257</v>
      </c>
      <c r="AI2">
        <v>1</v>
      </c>
    </row>
  </sheetData>
  <pageMargins left="0.7" right="0.7" top="0.75" bottom="0.75" header="0.3" footer="0.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41"/>
  <sheetViews>
    <sheetView workbookViewId="0">
      <selection activeCell="E12" sqref="E12"/>
    </sheetView>
  </sheetViews>
  <sheetFormatPr baseColWidth="10" defaultRowHeight="13.2" x14ac:dyDescent="0.25"/>
  <sheetData>
    <row r="1" spans="1:24" x14ac:dyDescent="0.25">
      <c r="A1" t="s">
        <v>258</v>
      </c>
      <c r="B1" s="57" t="s">
        <v>259</v>
      </c>
      <c r="C1" s="57" t="s">
        <v>260</v>
      </c>
      <c r="D1" s="44" t="s">
        <v>261</v>
      </c>
      <c r="E1" s="44" t="s">
        <v>262</v>
      </c>
      <c r="F1" t="s">
        <v>263</v>
      </c>
      <c r="G1" s="58" t="s">
        <v>264</v>
      </c>
      <c r="H1" t="s">
        <v>265</v>
      </c>
      <c r="I1" t="s">
        <v>266</v>
      </c>
      <c r="J1" s="57" t="s">
        <v>267</v>
      </c>
      <c r="K1" t="s">
        <v>268</v>
      </c>
      <c r="L1" s="59" t="s">
        <v>269</v>
      </c>
      <c r="M1" s="44" t="s">
        <v>270</v>
      </c>
      <c r="N1" s="44" t="s">
        <v>271</v>
      </c>
      <c r="O1" t="s">
        <v>272</v>
      </c>
      <c r="P1" t="s">
        <v>273</v>
      </c>
      <c r="Q1" t="s">
        <v>14</v>
      </c>
      <c r="R1" t="s">
        <v>15</v>
      </c>
      <c r="S1" t="s">
        <v>12</v>
      </c>
    </row>
    <row r="2" spans="1:24" x14ac:dyDescent="0.25">
      <c r="A2" s="60">
        <v>1426</v>
      </c>
      <c r="B2" s="61">
        <v>43815</v>
      </c>
      <c r="C2" s="61">
        <v>43815</v>
      </c>
      <c r="D2" s="62">
        <v>6631200</v>
      </c>
      <c r="E2" s="62">
        <v>7200000</v>
      </c>
      <c r="F2" s="60" t="s">
        <v>274</v>
      </c>
      <c r="G2" s="63">
        <v>1214729613.2</v>
      </c>
      <c r="H2" s="60" t="s">
        <v>275</v>
      </c>
      <c r="I2" s="60">
        <v>2259</v>
      </c>
      <c r="J2" s="61">
        <v>43810</v>
      </c>
      <c r="K2" s="60">
        <v>0</v>
      </c>
      <c r="L2" s="62">
        <v>7200000</v>
      </c>
      <c r="M2" s="62">
        <v>568800</v>
      </c>
      <c r="N2" s="62">
        <v>6631200</v>
      </c>
      <c r="O2" s="60">
        <v>0</v>
      </c>
      <c r="P2" s="60">
        <v>899</v>
      </c>
      <c r="Q2" s="60">
        <v>56</v>
      </c>
      <c r="R2" s="60" t="s">
        <v>140</v>
      </c>
      <c r="S2" s="60" t="s">
        <v>107</v>
      </c>
      <c r="T2" s="60"/>
      <c r="U2" s="60"/>
      <c r="V2" s="60"/>
      <c r="W2" s="60"/>
      <c r="X2" s="60"/>
    </row>
    <row r="3" spans="1:24" x14ac:dyDescent="0.25">
      <c r="A3" s="60">
        <v>1505</v>
      </c>
      <c r="B3" s="61">
        <v>43822</v>
      </c>
      <c r="C3" s="61">
        <v>43822</v>
      </c>
      <c r="D3" s="62">
        <v>76095837</v>
      </c>
      <c r="E3" s="62">
        <v>76095837</v>
      </c>
      <c r="F3" s="60" t="s">
        <v>276</v>
      </c>
      <c r="G3" s="63">
        <v>890910913.29999995</v>
      </c>
      <c r="H3" s="60" t="s">
        <v>277</v>
      </c>
      <c r="I3" s="60">
        <v>53</v>
      </c>
      <c r="J3" s="61">
        <v>43818</v>
      </c>
      <c r="K3" s="60">
        <v>0</v>
      </c>
      <c r="L3" s="62">
        <v>76095837</v>
      </c>
      <c r="M3" s="62">
        <v>0</v>
      </c>
      <c r="N3" s="62">
        <v>76095837</v>
      </c>
      <c r="O3" s="60">
        <v>0</v>
      </c>
      <c r="P3" s="60">
        <v>235</v>
      </c>
      <c r="Q3" s="60">
        <v>58</v>
      </c>
      <c r="R3" s="60" t="s">
        <v>131</v>
      </c>
      <c r="S3" s="60" t="s">
        <v>121</v>
      </c>
      <c r="T3" s="60"/>
      <c r="U3" s="60"/>
      <c r="V3" s="60"/>
      <c r="W3" s="60"/>
      <c r="X3" s="60"/>
    </row>
    <row r="4" spans="1:24" x14ac:dyDescent="0.25">
      <c r="A4" s="60">
        <v>1506</v>
      </c>
      <c r="B4" s="61">
        <v>43822</v>
      </c>
      <c r="C4" s="61">
        <v>43822</v>
      </c>
      <c r="D4" s="62">
        <v>16163000</v>
      </c>
      <c r="E4" s="62">
        <v>16163000</v>
      </c>
      <c r="F4" s="60" t="s">
        <v>278</v>
      </c>
      <c r="G4" s="63">
        <v>890980357.70000005</v>
      </c>
      <c r="H4" s="60" t="s">
        <v>279</v>
      </c>
      <c r="I4" s="60">
        <v>59122019</v>
      </c>
      <c r="J4" s="61">
        <v>43815</v>
      </c>
      <c r="K4" s="60">
        <v>0</v>
      </c>
      <c r="L4" s="62">
        <v>16163000</v>
      </c>
      <c r="M4" s="62">
        <v>0</v>
      </c>
      <c r="N4" s="62">
        <v>16163000</v>
      </c>
      <c r="O4" s="60">
        <v>0</v>
      </c>
      <c r="P4" s="60">
        <v>527</v>
      </c>
      <c r="Q4" s="60">
        <v>57</v>
      </c>
      <c r="R4" s="60" t="s">
        <v>141</v>
      </c>
      <c r="S4" s="60" t="s">
        <v>119</v>
      </c>
      <c r="T4" s="60"/>
      <c r="U4" s="60"/>
      <c r="V4" s="60"/>
      <c r="W4" s="60"/>
      <c r="X4" s="60"/>
    </row>
    <row r="5" spans="1:24" x14ac:dyDescent="0.25">
      <c r="A5" s="60">
        <v>1510</v>
      </c>
      <c r="B5" s="61">
        <v>43822</v>
      </c>
      <c r="C5" s="61">
        <v>43822</v>
      </c>
      <c r="D5" s="62">
        <v>90400063</v>
      </c>
      <c r="E5" s="62">
        <v>90400063</v>
      </c>
      <c r="F5" s="60" t="s">
        <v>280</v>
      </c>
      <c r="G5" s="63">
        <v>890983718.60000002</v>
      </c>
      <c r="H5" s="60" t="s">
        <v>281</v>
      </c>
      <c r="I5" s="60">
        <v>3024</v>
      </c>
      <c r="J5" s="61">
        <v>43818</v>
      </c>
      <c r="K5" s="60">
        <v>0</v>
      </c>
      <c r="L5" s="62">
        <v>90400063</v>
      </c>
      <c r="M5" s="62">
        <v>0</v>
      </c>
      <c r="N5" s="62">
        <v>90400063</v>
      </c>
      <c r="O5" s="60">
        <v>0</v>
      </c>
      <c r="P5" s="60">
        <v>218</v>
      </c>
      <c r="Q5" s="60">
        <v>58</v>
      </c>
      <c r="R5" s="60" t="s">
        <v>131</v>
      </c>
      <c r="S5" s="60" t="s">
        <v>121</v>
      </c>
      <c r="T5" s="60"/>
      <c r="U5" s="60"/>
      <c r="V5" s="60"/>
      <c r="W5" s="60"/>
      <c r="X5" s="60"/>
    </row>
    <row r="6" spans="1:24" x14ac:dyDescent="0.25">
      <c r="A6" s="60">
        <v>1512</v>
      </c>
      <c r="B6" s="61">
        <v>43822</v>
      </c>
      <c r="C6" s="61">
        <v>43822</v>
      </c>
      <c r="D6" s="62">
        <v>59431640</v>
      </c>
      <c r="E6" s="62">
        <v>59431640</v>
      </c>
      <c r="F6" s="60" t="s">
        <v>282</v>
      </c>
      <c r="G6" s="63">
        <v>890983728.10000002</v>
      </c>
      <c r="H6" s="60" t="s">
        <v>283</v>
      </c>
      <c r="I6" s="60">
        <v>2019069</v>
      </c>
      <c r="J6" s="61">
        <v>43801</v>
      </c>
      <c r="K6" s="60">
        <v>0</v>
      </c>
      <c r="L6" s="62">
        <v>59431640</v>
      </c>
      <c r="M6" s="62">
        <v>0</v>
      </c>
      <c r="N6" s="62">
        <v>59431640</v>
      </c>
      <c r="O6" s="60">
        <v>0</v>
      </c>
      <c r="P6" s="60">
        <v>447</v>
      </c>
      <c r="Q6" s="60">
        <v>54</v>
      </c>
      <c r="R6" s="60" t="s">
        <v>139</v>
      </c>
      <c r="S6" s="60" t="s">
        <v>121</v>
      </c>
      <c r="T6" s="60"/>
      <c r="U6" s="60"/>
      <c r="V6" s="60"/>
      <c r="W6" s="60"/>
      <c r="X6" s="60"/>
    </row>
    <row r="7" spans="1:24" x14ac:dyDescent="0.25">
      <c r="A7" s="60">
        <v>1515</v>
      </c>
      <c r="B7" s="61">
        <v>43822</v>
      </c>
      <c r="C7" s="61">
        <v>43822</v>
      </c>
      <c r="D7" s="62">
        <v>16800000</v>
      </c>
      <c r="E7" s="62">
        <v>16800000</v>
      </c>
      <c r="F7" s="60" t="s">
        <v>284</v>
      </c>
      <c r="G7" s="63">
        <v>890980357.70000005</v>
      </c>
      <c r="H7" s="60" t="s">
        <v>279</v>
      </c>
      <c r="I7" s="60">
        <v>2076</v>
      </c>
      <c r="J7" s="61">
        <v>43815</v>
      </c>
      <c r="K7" s="60">
        <v>0</v>
      </c>
      <c r="L7" s="62">
        <v>16800000</v>
      </c>
      <c r="M7" s="62">
        <v>0</v>
      </c>
      <c r="N7" s="62">
        <v>16800000</v>
      </c>
      <c r="O7" s="60">
        <v>0</v>
      </c>
      <c r="P7" s="60">
        <v>318</v>
      </c>
      <c r="Q7" s="60">
        <v>35</v>
      </c>
      <c r="R7" s="60" t="s">
        <v>108</v>
      </c>
      <c r="S7" s="60" t="s">
        <v>107</v>
      </c>
      <c r="T7" s="60"/>
      <c r="U7" s="60"/>
      <c r="V7" s="60"/>
      <c r="W7" s="60"/>
      <c r="X7" s="60"/>
    </row>
    <row r="8" spans="1:24" x14ac:dyDescent="0.25">
      <c r="A8" s="60">
        <v>1517</v>
      </c>
      <c r="B8" s="61">
        <v>43822</v>
      </c>
      <c r="C8" s="61">
        <v>43822</v>
      </c>
      <c r="D8" s="62">
        <v>11816160</v>
      </c>
      <c r="E8" s="62">
        <v>12360000</v>
      </c>
      <c r="F8" s="60" t="s">
        <v>285</v>
      </c>
      <c r="G8" s="63">
        <v>900305049.5</v>
      </c>
      <c r="H8" s="60" t="s">
        <v>286</v>
      </c>
      <c r="I8" s="60">
        <v>501</v>
      </c>
      <c r="J8" s="61">
        <v>43818</v>
      </c>
      <c r="K8" s="60">
        <v>0</v>
      </c>
      <c r="L8" s="62">
        <v>12360000</v>
      </c>
      <c r="M8" s="62">
        <v>543840</v>
      </c>
      <c r="N8" s="62">
        <v>11816160</v>
      </c>
      <c r="O8" s="60">
        <v>0</v>
      </c>
      <c r="P8" s="60">
        <v>736</v>
      </c>
      <c r="Q8" s="60">
        <v>46</v>
      </c>
      <c r="R8" s="60" t="s">
        <v>132</v>
      </c>
      <c r="S8" s="60" t="s">
        <v>107</v>
      </c>
      <c r="T8" s="60"/>
      <c r="U8" s="60"/>
      <c r="V8" s="60"/>
      <c r="W8" s="60"/>
      <c r="X8" s="60"/>
    </row>
    <row r="9" spans="1:24" x14ac:dyDescent="0.25">
      <c r="A9" s="60">
        <v>1518</v>
      </c>
      <c r="B9" s="61">
        <v>43822</v>
      </c>
      <c r="C9" s="61">
        <v>43822</v>
      </c>
      <c r="D9" s="62">
        <v>38520000</v>
      </c>
      <c r="E9" s="62">
        <v>45000000</v>
      </c>
      <c r="F9" s="60" t="s">
        <v>287</v>
      </c>
      <c r="G9" s="63">
        <v>1128281693.4000001</v>
      </c>
      <c r="H9" s="60" t="s">
        <v>288</v>
      </c>
      <c r="I9" s="60">
        <v>67</v>
      </c>
      <c r="J9" s="61">
        <v>43819</v>
      </c>
      <c r="K9" s="60">
        <v>0</v>
      </c>
      <c r="L9" s="62">
        <v>45000000</v>
      </c>
      <c r="M9" s="62">
        <v>6480000</v>
      </c>
      <c r="N9" s="62">
        <v>38520000</v>
      </c>
      <c r="O9" s="60">
        <v>0</v>
      </c>
      <c r="P9" s="60">
        <v>518</v>
      </c>
      <c r="Q9" s="60">
        <v>54</v>
      </c>
      <c r="R9" s="60" t="s">
        <v>139</v>
      </c>
      <c r="S9" s="60" t="s">
        <v>121</v>
      </c>
      <c r="T9" s="60"/>
      <c r="U9" s="60"/>
      <c r="V9" s="60"/>
      <c r="W9" s="60"/>
      <c r="X9" s="60"/>
    </row>
    <row r="10" spans="1:24" x14ac:dyDescent="0.25">
      <c r="A10" s="60">
        <v>1520</v>
      </c>
      <c r="B10" s="61">
        <v>43822</v>
      </c>
      <c r="C10" s="61">
        <v>43822</v>
      </c>
      <c r="D10" s="62">
        <v>8370235</v>
      </c>
      <c r="E10" s="62">
        <v>8990586</v>
      </c>
      <c r="F10" s="60" t="s">
        <v>289</v>
      </c>
      <c r="G10" s="63">
        <v>8358437.0999999996</v>
      </c>
      <c r="H10" s="60" t="s">
        <v>290</v>
      </c>
      <c r="I10" s="60">
        <v>2220</v>
      </c>
      <c r="J10" s="61">
        <v>43815</v>
      </c>
      <c r="K10" s="60">
        <v>0</v>
      </c>
      <c r="L10" s="62">
        <v>8990586</v>
      </c>
      <c r="M10" s="62">
        <v>620351</v>
      </c>
      <c r="N10" s="62">
        <v>8370235</v>
      </c>
      <c r="O10" s="60">
        <v>0</v>
      </c>
      <c r="P10" s="60">
        <v>661</v>
      </c>
      <c r="Q10" s="60">
        <v>35</v>
      </c>
      <c r="R10" s="60" t="s">
        <v>108</v>
      </c>
      <c r="S10" s="60" t="s">
        <v>107</v>
      </c>
      <c r="T10" s="60"/>
      <c r="U10" s="60"/>
      <c r="V10" s="60"/>
      <c r="W10" s="60"/>
      <c r="X10" s="60"/>
    </row>
    <row r="11" spans="1:24" x14ac:dyDescent="0.25">
      <c r="A11" s="60">
        <v>1525</v>
      </c>
      <c r="B11" s="61">
        <v>43822</v>
      </c>
      <c r="C11" s="61">
        <v>43822</v>
      </c>
      <c r="D11" s="62">
        <v>29715820</v>
      </c>
      <c r="E11" s="62">
        <v>29715820</v>
      </c>
      <c r="F11" s="60" t="s">
        <v>282</v>
      </c>
      <c r="G11" s="63">
        <v>890983728.10000002</v>
      </c>
      <c r="H11" s="60" t="s">
        <v>283</v>
      </c>
      <c r="I11" s="60">
        <v>2019070</v>
      </c>
      <c r="J11" s="61">
        <v>43801</v>
      </c>
      <c r="K11" s="60">
        <v>0</v>
      </c>
      <c r="L11" s="62">
        <v>29715820</v>
      </c>
      <c r="M11" s="62">
        <v>0</v>
      </c>
      <c r="N11" s="62">
        <v>29715820</v>
      </c>
      <c r="O11" s="60">
        <v>0</v>
      </c>
      <c r="P11" s="60">
        <v>447</v>
      </c>
      <c r="Q11" s="60">
        <v>54</v>
      </c>
      <c r="R11" s="60" t="s">
        <v>139</v>
      </c>
      <c r="S11" s="60" t="s">
        <v>121</v>
      </c>
      <c r="T11" s="60"/>
      <c r="U11" s="60"/>
      <c r="V11" s="60"/>
      <c r="W11" s="60"/>
      <c r="X11" s="60"/>
    </row>
    <row r="12" spans="1:24" x14ac:dyDescent="0.25">
      <c r="A12" s="60">
        <v>1530</v>
      </c>
      <c r="B12" s="61">
        <v>43822</v>
      </c>
      <c r="C12" s="61">
        <v>43822</v>
      </c>
      <c r="D12" s="62">
        <v>122832600</v>
      </c>
      <c r="E12" s="62">
        <v>122832600</v>
      </c>
      <c r="F12" s="60" t="s">
        <v>291</v>
      </c>
      <c r="G12" s="63">
        <v>890980040.79999995</v>
      </c>
      <c r="H12" s="60" t="s">
        <v>292</v>
      </c>
      <c r="I12" s="60">
        <v>80072358</v>
      </c>
      <c r="J12" s="61">
        <v>43818</v>
      </c>
      <c r="K12" s="60">
        <v>0</v>
      </c>
      <c r="L12" s="62">
        <v>122832600</v>
      </c>
      <c r="M12" s="62">
        <v>0</v>
      </c>
      <c r="N12" s="62">
        <v>122832600</v>
      </c>
      <c r="O12" s="60">
        <v>0</v>
      </c>
      <c r="P12" s="60">
        <v>493</v>
      </c>
      <c r="Q12" s="60">
        <v>53</v>
      </c>
      <c r="R12" s="60" t="s">
        <v>138</v>
      </c>
      <c r="S12" s="60" t="s">
        <v>119</v>
      </c>
      <c r="T12" s="60"/>
      <c r="U12" s="60"/>
      <c r="V12" s="60"/>
      <c r="W12" s="60"/>
      <c r="X12" s="60"/>
    </row>
    <row r="13" spans="1:24" x14ac:dyDescent="0.25">
      <c r="A13" s="60">
        <v>1533</v>
      </c>
      <c r="B13" s="61">
        <v>43822</v>
      </c>
      <c r="C13" s="61">
        <v>43822</v>
      </c>
      <c r="D13" s="62">
        <v>8100000</v>
      </c>
      <c r="E13" s="62">
        <v>8100000</v>
      </c>
      <c r="F13" s="60" t="s">
        <v>293</v>
      </c>
      <c r="G13" s="63">
        <v>890981069.5</v>
      </c>
      <c r="H13" s="60" t="s">
        <v>294</v>
      </c>
      <c r="I13" s="60">
        <v>61</v>
      </c>
      <c r="J13" s="61">
        <v>43817</v>
      </c>
      <c r="K13" s="60">
        <v>0</v>
      </c>
      <c r="L13" s="62">
        <v>8100000</v>
      </c>
      <c r="M13" s="62">
        <v>0</v>
      </c>
      <c r="N13" s="62">
        <v>8100000</v>
      </c>
      <c r="O13" s="60">
        <v>0</v>
      </c>
      <c r="P13" s="60">
        <v>414</v>
      </c>
      <c r="Q13" s="60">
        <v>35</v>
      </c>
      <c r="R13" s="60" t="s">
        <v>108</v>
      </c>
      <c r="S13" s="60" t="s">
        <v>107</v>
      </c>
      <c r="T13" s="60"/>
      <c r="U13" s="60"/>
      <c r="V13" s="60"/>
      <c r="W13" s="60"/>
      <c r="X13" s="60"/>
    </row>
    <row r="14" spans="1:24" x14ac:dyDescent="0.25">
      <c r="A14" s="60">
        <v>1534</v>
      </c>
      <c r="B14" s="61">
        <v>43822</v>
      </c>
      <c r="C14" s="61">
        <v>43822</v>
      </c>
      <c r="D14" s="62">
        <v>59684904</v>
      </c>
      <c r="E14" s="62">
        <v>59684904</v>
      </c>
      <c r="F14" s="60" t="s">
        <v>295</v>
      </c>
      <c r="G14" s="63">
        <v>890907569.10000002</v>
      </c>
      <c r="H14" s="60" t="s">
        <v>296</v>
      </c>
      <c r="I14" s="60">
        <v>3102</v>
      </c>
      <c r="J14" s="61">
        <v>43819</v>
      </c>
      <c r="K14" s="60">
        <v>0</v>
      </c>
      <c r="L14" s="62">
        <v>59684904</v>
      </c>
      <c r="M14" s="62">
        <v>0</v>
      </c>
      <c r="N14" s="62">
        <v>59684904</v>
      </c>
      <c r="O14" s="60">
        <v>0</v>
      </c>
      <c r="P14" s="60">
        <v>419</v>
      </c>
      <c r="Q14" s="60">
        <v>57</v>
      </c>
      <c r="R14" s="60" t="s">
        <v>141</v>
      </c>
      <c r="S14" s="60" t="s">
        <v>119</v>
      </c>
      <c r="T14" s="60"/>
      <c r="U14" s="60"/>
      <c r="V14" s="60"/>
      <c r="W14" s="60"/>
      <c r="X14" s="60"/>
    </row>
    <row r="15" spans="1:24" x14ac:dyDescent="0.25">
      <c r="A15" s="60">
        <v>1536</v>
      </c>
      <c r="B15" s="61">
        <v>43822</v>
      </c>
      <c r="C15" s="61">
        <v>43822</v>
      </c>
      <c r="D15" s="62">
        <v>2975837</v>
      </c>
      <c r="E15" s="62">
        <v>3112800</v>
      </c>
      <c r="F15" s="60" t="s">
        <v>297</v>
      </c>
      <c r="G15" s="63">
        <v>900304471.60000002</v>
      </c>
      <c r="H15" s="60" t="s">
        <v>298</v>
      </c>
      <c r="I15" s="60">
        <v>2201</v>
      </c>
      <c r="J15" s="61">
        <v>43801</v>
      </c>
      <c r="K15" s="60">
        <v>0</v>
      </c>
      <c r="L15" s="62">
        <v>3112800</v>
      </c>
      <c r="M15" s="62">
        <v>136963</v>
      </c>
      <c r="N15" s="62">
        <v>2975837</v>
      </c>
      <c r="O15" s="60">
        <v>0</v>
      </c>
      <c r="P15" s="60">
        <v>641</v>
      </c>
      <c r="Q15" s="60">
        <v>35</v>
      </c>
      <c r="R15" s="60" t="s">
        <v>108</v>
      </c>
      <c r="S15" s="60" t="s">
        <v>107</v>
      </c>
      <c r="T15" s="60"/>
      <c r="U15" s="60"/>
      <c r="V15" s="60"/>
      <c r="W15" s="60"/>
      <c r="X15" s="60"/>
    </row>
    <row r="16" spans="1:24" x14ac:dyDescent="0.25">
      <c r="A16" s="60">
        <v>1539</v>
      </c>
      <c r="B16" s="61">
        <v>43822</v>
      </c>
      <c r="C16" s="61">
        <v>43822</v>
      </c>
      <c r="D16" s="62">
        <v>30000000</v>
      </c>
      <c r="E16" s="62">
        <v>30000000</v>
      </c>
      <c r="F16" s="60" t="s">
        <v>299</v>
      </c>
      <c r="G16" s="63">
        <v>890980040.79999995</v>
      </c>
      <c r="H16" s="60" t="s">
        <v>292</v>
      </c>
      <c r="I16" s="60">
        <v>80072332</v>
      </c>
      <c r="J16" s="61">
        <v>43818</v>
      </c>
      <c r="K16" s="60">
        <v>0</v>
      </c>
      <c r="L16" s="62">
        <v>30000000</v>
      </c>
      <c r="M16" s="62">
        <v>0</v>
      </c>
      <c r="N16" s="62">
        <v>30000000</v>
      </c>
      <c r="O16" s="60">
        <v>0</v>
      </c>
      <c r="P16" s="60">
        <v>336</v>
      </c>
      <c r="Q16" s="60">
        <v>57</v>
      </c>
      <c r="R16" s="60" t="s">
        <v>141</v>
      </c>
      <c r="S16" s="60" t="s">
        <v>119</v>
      </c>
      <c r="T16" s="60"/>
      <c r="U16" s="60"/>
      <c r="V16" s="60"/>
      <c r="W16" s="60"/>
      <c r="X16" s="60"/>
    </row>
    <row r="17" spans="1:24" x14ac:dyDescent="0.25">
      <c r="A17" s="60">
        <v>1540</v>
      </c>
      <c r="B17" s="61">
        <v>43822</v>
      </c>
      <c r="C17" s="61">
        <v>43822</v>
      </c>
      <c r="D17" s="62">
        <v>38400000</v>
      </c>
      <c r="E17" s="62">
        <v>38400000</v>
      </c>
      <c r="F17" s="60" t="s">
        <v>300</v>
      </c>
      <c r="G17" s="63">
        <v>890984882</v>
      </c>
      <c r="H17" s="60" t="s">
        <v>301</v>
      </c>
      <c r="I17" s="60">
        <v>31</v>
      </c>
      <c r="J17" s="61">
        <v>43816</v>
      </c>
      <c r="K17" s="60">
        <v>0</v>
      </c>
      <c r="L17" s="62">
        <v>38400000</v>
      </c>
      <c r="M17" s="62">
        <v>0</v>
      </c>
      <c r="N17" s="62">
        <v>38400000</v>
      </c>
      <c r="O17" s="60">
        <v>0</v>
      </c>
      <c r="P17" s="60">
        <v>479</v>
      </c>
      <c r="Q17" s="60">
        <v>54</v>
      </c>
      <c r="R17" s="60" t="s">
        <v>139</v>
      </c>
      <c r="S17" s="60" t="s">
        <v>121</v>
      </c>
      <c r="T17" s="60"/>
      <c r="U17" s="60"/>
      <c r="V17" s="60"/>
      <c r="W17" s="60"/>
      <c r="X17" s="60"/>
    </row>
    <row r="18" spans="1:24" x14ac:dyDescent="0.25">
      <c r="A18" s="60">
        <v>1542</v>
      </c>
      <c r="B18" s="61">
        <v>43822</v>
      </c>
      <c r="C18" s="61">
        <v>43822</v>
      </c>
      <c r="D18" s="62">
        <v>90770000</v>
      </c>
      <c r="E18" s="62">
        <v>90770000</v>
      </c>
      <c r="F18" s="60" t="s">
        <v>302</v>
      </c>
      <c r="G18" s="63">
        <v>890981069.5</v>
      </c>
      <c r="H18" s="60" t="s">
        <v>294</v>
      </c>
      <c r="I18" s="60">
        <v>60</v>
      </c>
      <c r="J18" s="61">
        <v>43818</v>
      </c>
      <c r="K18" s="60">
        <v>0</v>
      </c>
      <c r="L18" s="62">
        <v>90770000</v>
      </c>
      <c r="M18" s="62">
        <v>0</v>
      </c>
      <c r="N18" s="62">
        <v>90770000</v>
      </c>
      <c r="O18" s="60">
        <v>0</v>
      </c>
      <c r="P18" s="60">
        <v>1053</v>
      </c>
      <c r="Q18" s="60">
        <v>58</v>
      </c>
      <c r="R18" s="60" t="s">
        <v>131</v>
      </c>
      <c r="S18" s="60" t="s">
        <v>121</v>
      </c>
      <c r="T18" s="60"/>
      <c r="U18" s="60"/>
      <c r="V18" s="60"/>
      <c r="W18" s="60"/>
      <c r="X18" s="60"/>
    </row>
    <row r="19" spans="1:24" x14ac:dyDescent="0.25">
      <c r="A19" s="60">
        <v>1547</v>
      </c>
      <c r="B19" s="61">
        <v>43822</v>
      </c>
      <c r="C19" s="61">
        <v>43822</v>
      </c>
      <c r="D19" s="62">
        <v>17490000</v>
      </c>
      <c r="E19" s="62">
        <v>17490000</v>
      </c>
      <c r="F19" s="60" t="s">
        <v>303</v>
      </c>
      <c r="G19" s="63">
        <v>890980040.79999995</v>
      </c>
      <c r="H19" s="60" t="s">
        <v>292</v>
      </c>
      <c r="I19" s="60">
        <v>80071203</v>
      </c>
      <c r="J19" s="61">
        <v>43804</v>
      </c>
      <c r="K19" s="60">
        <v>0</v>
      </c>
      <c r="L19" s="62">
        <v>17490000</v>
      </c>
      <c r="M19" s="62">
        <v>0</v>
      </c>
      <c r="N19" s="62">
        <v>17490000</v>
      </c>
      <c r="O19" s="60">
        <v>0</v>
      </c>
      <c r="P19" s="60">
        <v>449</v>
      </c>
      <c r="Q19" s="60">
        <v>57</v>
      </c>
      <c r="R19" s="60" t="s">
        <v>141</v>
      </c>
      <c r="S19" s="60" t="s">
        <v>119</v>
      </c>
      <c r="T19" s="60"/>
      <c r="U19" s="60"/>
      <c r="V19" s="60"/>
      <c r="W19" s="60"/>
      <c r="X19" s="60"/>
    </row>
    <row r="20" spans="1:24" x14ac:dyDescent="0.25">
      <c r="A20" s="60">
        <v>1548</v>
      </c>
      <c r="B20" s="61">
        <v>43822</v>
      </c>
      <c r="C20" s="61">
        <v>43822</v>
      </c>
      <c r="D20" s="62">
        <v>9600000</v>
      </c>
      <c r="E20" s="62">
        <v>9600000</v>
      </c>
      <c r="F20" s="60" t="s">
        <v>300</v>
      </c>
      <c r="G20" s="63">
        <v>890984882</v>
      </c>
      <c r="H20" s="60" t="s">
        <v>301</v>
      </c>
      <c r="I20" s="60">
        <v>30</v>
      </c>
      <c r="J20" s="61">
        <v>43816</v>
      </c>
      <c r="K20" s="60">
        <v>0</v>
      </c>
      <c r="L20" s="62">
        <v>9600000</v>
      </c>
      <c r="M20" s="62">
        <v>0</v>
      </c>
      <c r="N20" s="62">
        <v>9600000</v>
      </c>
      <c r="O20" s="60">
        <v>0</v>
      </c>
      <c r="P20" s="60">
        <v>479</v>
      </c>
      <c r="Q20" s="60">
        <v>54</v>
      </c>
      <c r="R20" s="60" t="s">
        <v>139</v>
      </c>
      <c r="S20" s="60" t="s">
        <v>121</v>
      </c>
      <c r="T20" s="60"/>
      <c r="U20" s="60"/>
      <c r="V20" s="60"/>
      <c r="W20" s="60"/>
      <c r="X20" s="60"/>
    </row>
    <row r="21" spans="1:24" x14ac:dyDescent="0.25">
      <c r="A21" s="60">
        <v>1551</v>
      </c>
      <c r="B21" s="61">
        <v>43822</v>
      </c>
      <c r="C21" s="61">
        <v>43822</v>
      </c>
      <c r="D21" s="62">
        <v>49599770</v>
      </c>
      <c r="E21" s="62">
        <v>49599770</v>
      </c>
      <c r="F21" s="60" t="s">
        <v>304</v>
      </c>
      <c r="G21" s="63">
        <v>890980040.79999995</v>
      </c>
      <c r="H21" s="60" t="s">
        <v>292</v>
      </c>
      <c r="I21" s="60">
        <v>80072310</v>
      </c>
      <c r="J21" s="61">
        <v>43818</v>
      </c>
      <c r="K21" s="60">
        <v>0</v>
      </c>
      <c r="L21" s="62">
        <v>49599770</v>
      </c>
      <c r="M21" s="62">
        <v>0</v>
      </c>
      <c r="N21" s="62">
        <v>49599770</v>
      </c>
      <c r="O21" s="60">
        <v>0</v>
      </c>
      <c r="P21" s="60">
        <v>273</v>
      </c>
      <c r="Q21" s="60">
        <v>50</v>
      </c>
      <c r="R21" s="60" t="s">
        <v>135</v>
      </c>
      <c r="S21" s="60" t="s">
        <v>111</v>
      </c>
      <c r="T21" s="60"/>
      <c r="U21" s="60"/>
      <c r="V21" s="60"/>
      <c r="W21" s="60"/>
      <c r="X21" s="60"/>
    </row>
    <row r="22" spans="1:24" x14ac:dyDescent="0.25">
      <c r="A22" s="60">
        <v>1560</v>
      </c>
      <c r="B22" s="61">
        <v>43822</v>
      </c>
      <c r="C22" s="61">
        <v>43822</v>
      </c>
      <c r="D22" s="62">
        <v>8289000</v>
      </c>
      <c r="E22" s="62">
        <v>9000000</v>
      </c>
      <c r="F22" s="60" t="s">
        <v>305</v>
      </c>
      <c r="G22" s="63">
        <v>1040042644.1</v>
      </c>
      <c r="H22" s="60" t="s">
        <v>306</v>
      </c>
      <c r="I22" s="60">
        <v>2182</v>
      </c>
      <c r="J22" s="61">
        <v>43802</v>
      </c>
      <c r="K22" s="60">
        <v>0</v>
      </c>
      <c r="L22" s="62">
        <v>9000000</v>
      </c>
      <c r="M22" s="62">
        <v>711000</v>
      </c>
      <c r="N22" s="62">
        <v>8289000</v>
      </c>
      <c r="O22" s="60">
        <v>0</v>
      </c>
      <c r="P22" s="60">
        <v>622</v>
      </c>
      <c r="Q22" s="60">
        <v>35</v>
      </c>
      <c r="R22" s="60" t="s">
        <v>108</v>
      </c>
      <c r="S22" s="60" t="s">
        <v>107</v>
      </c>
      <c r="T22" s="60"/>
      <c r="U22" s="60"/>
      <c r="V22" s="60"/>
      <c r="W22" s="60"/>
      <c r="X22" s="60"/>
    </row>
    <row r="23" spans="1:24" x14ac:dyDescent="0.25">
      <c r="A23" s="60">
        <v>1562</v>
      </c>
      <c r="B23" s="61">
        <v>43822</v>
      </c>
      <c r="C23" s="61">
        <v>43822</v>
      </c>
      <c r="D23" s="62">
        <v>63078738</v>
      </c>
      <c r="E23" s="62">
        <v>67753746</v>
      </c>
      <c r="F23" s="60" t="s">
        <v>307</v>
      </c>
      <c r="G23" s="63">
        <v>816006411.10000002</v>
      </c>
      <c r="H23" s="60" t="s">
        <v>308</v>
      </c>
      <c r="I23" s="60">
        <v>5694</v>
      </c>
      <c r="J23" s="61">
        <v>43816</v>
      </c>
      <c r="K23" s="60">
        <v>0</v>
      </c>
      <c r="L23" s="62">
        <v>67753746</v>
      </c>
      <c r="M23" s="62">
        <v>4675008</v>
      </c>
      <c r="N23" s="62">
        <v>63078738</v>
      </c>
      <c r="O23" s="60">
        <v>0</v>
      </c>
      <c r="P23" s="60">
        <v>991</v>
      </c>
      <c r="Q23" s="60">
        <v>50</v>
      </c>
      <c r="R23" s="60" t="s">
        <v>135</v>
      </c>
      <c r="S23" s="60" t="s">
        <v>111</v>
      </c>
      <c r="T23" s="60"/>
      <c r="U23" s="60"/>
      <c r="V23" s="60"/>
      <c r="W23" s="60"/>
      <c r="X23" s="60"/>
    </row>
    <row r="24" spans="1:24" x14ac:dyDescent="0.25">
      <c r="A24" s="60">
        <v>1578</v>
      </c>
      <c r="B24" s="61">
        <v>43826</v>
      </c>
      <c r="C24" s="61">
        <v>43826</v>
      </c>
      <c r="D24" s="62">
        <v>14000000</v>
      </c>
      <c r="E24" s="62">
        <v>14000000</v>
      </c>
      <c r="F24" s="60" t="s">
        <v>309</v>
      </c>
      <c r="G24" s="63">
        <v>890981518</v>
      </c>
      <c r="H24" s="60" t="s">
        <v>310</v>
      </c>
      <c r="I24" s="60">
        <v>3142</v>
      </c>
      <c r="J24" s="61">
        <v>43826</v>
      </c>
      <c r="K24" s="60">
        <v>0</v>
      </c>
      <c r="L24" s="62">
        <v>14000000</v>
      </c>
      <c r="M24" s="62">
        <v>0</v>
      </c>
      <c r="N24" s="62">
        <v>14000000</v>
      </c>
      <c r="O24" s="60">
        <v>0</v>
      </c>
      <c r="P24" s="60">
        <v>544</v>
      </c>
      <c r="Q24" s="60">
        <v>58</v>
      </c>
      <c r="R24" s="60" t="s">
        <v>131</v>
      </c>
      <c r="S24" s="60" t="s">
        <v>121</v>
      </c>
      <c r="T24" s="60"/>
      <c r="U24" s="60"/>
      <c r="V24" s="60"/>
      <c r="W24" s="60"/>
      <c r="X24" s="60"/>
    </row>
    <row r="25" spans="1:24" x14ac:dyDescent="0.25">
      <c r="A25" s="60">
        <v>1592</v>
      </c>
      <c r="B25" s="61">
        <v>43829</v>
      </c>
      <c r="C25" s="61">
        <v>43829</v>
      </c>
      <c r="D25" s="62">
        <v>13319421</v>
      </c>
      <c r="E25" s="62">
        <v>13319421</v>
      </c>
      <c r="F25" s="60" t="s">
        <v>311</v>
      </c>
      <c r="G25" s="63">
        <v>890982583.39999998</v>
      </c>
      <c r="H25" s="60" t="s">
        <v>312</v>
      </c>
      <c r="I25" s="60">
        <v>185</v>
      </c>
      <c r="J25" s="61">
        <v>43817</v>
      </c>
      <c r="K25" s="60">
        <v>0</v>
      </c>
      <c r="L25" s="62">
        <v>13319421</v>
      </c>
      <c r="M25" s="62">
        <v>0</v>
      </c>
      <c r="N25" s="62">
        <v>13319421</v>
      </c>
      <c r="O25" s="60">
        <v>0</v>
      </c>
      <c r="P25" s="60">
        <v>546</v>
      </c>
      <c r="Q25" s="60">
        <v>54</v>
      </c>
      <c r="R25" s="60" t="s">
        <v>139</v>
      </c>
      <c r="S25" s="60" t="s">
        <v>121</v>
      </c>
      <c r="T25" s="60"/>
      <c r="U25" s="60"/>
      <c r="V25" s="60"/>
      <c r="W25" s="60"/>
      <c r="X25" s="60"/>
    </row>
    <row r="26" spans="1:24" x14ac:dyDescent="0.25">
      <c r="A26" s="60">
        <v>1593</v>
      </c>
      <c r="B26" s="61">
        <v>43829</v>
      </c>
      <c r="C26" s="61">
        <v>43829</v>
      </c>
      <c r="D26" s="62">
        <v>114210000</v>
      </c>
      <c r="E26" s="62">
        <v>135000000</v>
      </c>
      <c r="F26" s="60" t="s">
        <v>313</v>
      </c>
      <c r="G26" s="63">
        <v>70054244.700000003</v>
      </c>
      <c r="H26" s="60" t="s">
        <v>314</v>
      </c>
      <c r="I26" s="60">
        <v>68</v>
      </c>
      <c r="J26" s="61">
        <v>43825</v>
      </c>
      <c r="K26" s="60">
        <v>0</v>
      </c>
      <c r="L26" s="62">
        <v>135000000</v>
      </c>
      <c r="M26" s="62">
        <v>20790000</v>
      </c>
      <c r="N26" s="62">
        <v>114210000</v>
      </c>
      <c r="O26" s="60">
        <v>0</v>
      </c>
      <c r="P26" s="60">
        <v>1054</v>
      </c>
      <c r="Q26" s="60">
        <v>58</v>
      </c>
      <c r="R26" s="60" t="s">
        <v>131</v>
      </c>
      <c r="S26" s="60" t="s">
        <v>121</v>
      </c>
      <c r="T26" s="60"/>
      <c r="U26" s="60"/>
      <c r="V26" s="60"/>
      <c r="W26" s="60"/>
      <c r="X26" s="60"/>
    </row>
    <row r="27" spans="1:24" x14ac:dyDescent="0.25">
      <c r="A27" s="60">
        <v>1595</v>
      </c>
      <c r="B27" s="61">
        <v>43829</v>
      </c>
      <c r="C27" s="61">
        <v>43829</v>
      </c>
      <c r="D27" s="62">
        <v>9500000</v>
      </c>
      <c r="E27" s="62">
        <v>9500000</v>
      </c>
      <c r="F27" s="60" t="s">
        <v>315</v>
      </c>
      <c r="G27" s="63">
        <v>890980850.70000005</v>
      </c>
      <c r="H27" s="60" t="s">
        <v>316</v>
      </c>
      <c r="I27" s="60">
        <v>56</v>
      </c>
      <c r="J27" s="61">
        <v>43822</v>
      </c>
      <c r="K27" s="60">
        <v>0</v>
      </c>
      <c r="L27" s="62">
        <v>9500000</v>
      </c>
      <c r="M27" s="62">
        <v>0</v>
      </c>
      <c r="N27" s="62">
        <v>9500000</v>
      </c>
      <c r="O27" s="60">
        <v>0</v>
      </c>
      <c r="P27" s="60">
        <v>402</v>
      </c>
      <c r="Q27" s="60">
        <v>35</v>
      </c>
      <c r="R27" s="60" t="s">
        <v>108</v>
      </c>
      <c r="S27" s="60" t="s">
        <v>107</v>
      </c>
      <c r="T27" s="60"/>
      <c r="U27" s="60"/>
      <c r="V27" s="60"/>
      <c r="W27" s="60"/>
      <c r="X27" s="60"/>
    </row>
    <row r="28" spans="1:24" x14ac:dyDescent="0.25">
      <c r="A28" s="60">
        <v>1597</v>
      </c>
      <c r="B28" s="61">
        <v>43829</v>
      </c>
      <c r="C28" s="61">
        <v>43829</v>
      </c>
      <c r="D28" s="62">
        <v>38981272</v>
      </c>
      <c r="E28" s="62">
        <v>38981272</v>
      </c>
      <c r="F28" s="60" t="s">
        <v>317</v>
      </c>
      <c r="G28" s="63">
        <v>800229739</v>
      </c>
      <c r="H28" s="60" t="s">
        <v>318</v>
      </c>
      <c r="I28" s="60">
        <v>862</v>
      </c>
      <c r="J28" s="61">
        <v>43829</v>
      </c>
      <c r="K28" s="60">
        <v>0</v>
      </c>
      <c r="L28" s="62">
        <v>38981272</v>
      </c>
      <c r="M28" s="62">
        <v>0</v>
      </c>
      <c r="N28" s="62">
        <v>38981272</v>
      </c>
      <c r="O28" s="60">
        <v>0</v>
      </c>
      <c r="P28" s="60">
        <v>1172</v>
      </c>
      <c r="Q28" s="60">
        <v>17</v>
      </c>
      <c r="R28" s="60" t="s">
        <v>71</v>
      </c>
      <c r="S28" s="60" t="s">
        <v>70</v>
      </c>
      <c r="T28" s="60"/>
      <c r="U28" s="60"/>
      <c r="V28" s="60"/>
      <c r="W28" s="60"/>
      <c r="X28" s="60"/>
    </row>
    <row r="29" spans="1:24" x14ac:dyDescent="0.25">
      <c r="A29" s="60">
        <v>1598</v>
      </c>
      <c r="B29" s="61">
        <v>43829</v>
      </c>
      <c r="C29" s="61">
        <v>43829</v>
      </c>
      <c r="D29" s="62">
        <v>69654448</v>
      </c>
      <c r="E29" s="62">
        <v>69654448</v>
      </c>
      <c r="F29" s="60" t="s">
        <v>317</v>
      </c>
      <c r="G29" s="63">
        <v>800227940.60000002</v>
      </c>
      <c r="H29" s="60" t="s">
        <v>319</v>
      </c>
      <c r="I29" s="60">
        <v>862</v>
      </c>
      <c r="J29" s="61">
        <v>43829</v>
      </c>
      <c r="K29" s="60">
        <v>0</v>
      </c>
      <c r="L29" s="62">
        <v>69654448</v>
      </c>
      <c r="M29" s="62">
        <v>0</v>
      </c>
      <c r="N29" s="62">
        <v>69654448</v>
      </c>
      <c r="O29" s="60">
        <v>0</v>
      </c>
      <c r="P29" s="60">
        <v>1169</v>
      </c>
      <c r="Q29" s="60">
        <v>17</v>
      </c>
      <c r="R29" s="60" t="s">
        <v>71</v>
      </c>
      <c r="S29" s="60" t="s">
        <v>70</v>
      </c>
      <c r="T29" s="60"/>
      <c r="U29" s="60"/>
      <c r="V29" s="60"/>
      <c r="W29" s="60"/>
      <c r="X29" s="60"/>
    </row>
    <row r="30" spans="1:24" x14ac:dyDescent="0.25">
      <c r="A30" s="60">
        <v>1599</v>
      </c>
      <c r="B30" s="61">
        <v>43829</v>
      </c>
      <c r="C30" s="61">
        <v>43829</v>
      </c>
      <c r="D30" s="62">
        <v>14615701</v>
      </c>
      <c r="E30" s="62">
        <v>14615701</v>
      </c>
      <c r="F30" s="60" t="s">
        <v>317</v>
      </c>
      <c r="G30" s="63">
        <v>800224808.79999995</v>
      </c>
      <c r="H30" s="60" t="s">
        <v>320</v>
      </c>
      <c r="I30" s="60">
        <v>862</v>
      </c>
      <c r="J30" s="61">
        <v>43829</v>
      </c>
      <c r="K30" s="60">
        <v>0</v>
      </c>
      <c r="L30" s="62">
        <v>14615701</v>
      </c>
      <c r="M30" s="62">
        <v>0</v>
      </c>
      <c r="N30" s="62">
        <v>14615701</v>
      </c>
      <c r="O30" s="60">
        <v>0</v>
      </c>
      <c r="P30" s="60">
        <v>1173</v>
      </c>
      <c r="Q30" s="60">
        <v>17</v>
      </c>
      <c r="R30" s="60" t="s">
        <v>71</v>
      </c>
      <c r="S30" s="60" t="s">
        <v>70</v>
      </c>
      <c r="T30" s="60"/>
      <c r="U30" s="60"/>
      <c r="V30" s="60"/>
      <c r="W30" s="60"/>
      <c r="X30" s="60"/>
    </row>
    <row r="31" spans="1:24" x14ac:dyDescent="0.25">
      <c r="A31" s="60">
        <v>1600</v>
      </c>
      <c r="B31" s="61">
        <v>43829</v>
      </c>
      <c r="C31" s="61">
        <v>43829</v>
      </c>
      <c r="D31" s="62">
        <v>13061208</v>
      </c>
      <c r="E31" s="62">
        <v>13061208</v>
      </c>
      <c r="F31" s="60" t="s">
        <v>321</v>
      </c>
      <c r="G31" s="63">
        <v>899999284.39999998</v>
      </c>
      <c r="H31" s="60" t="s">
        <v>322</v>
      </c>
      <c r="I31" s="60">
        <v>862</v>
      </c>
      <c r="J31" s="61">
        <v>43829</v>
      </c>
      <c r="K31" s="60">
        <v>0</v>
      </c>
      <c r="L31" s="62">
        <v>13061208</v>
      </c>
      <c r="M31" s="62">
        <v>0</v>
      </c>
      <c r="N31" s="62">
        <v>13061208</v>
      </c>
      <c r="O31" s="60">
        <v>0</v>
      </c>
      <c r="P31" s="60">
        <v>1171</v>
      </c>
      <c r="Q31" s="60">
        <v>14</v>
      </c>
      <c r="R31" s="60" t="s">
        <v>65</v>
      </c>
      <c r="S31" s="60" t="s">
        <v>64</v>
      </c>
      <c r="T31" s="60"/>
      <c r="U31" s="60"/>
      <c r="V31" s="60"/>
      <c r="W31" s="60"/>
      <c r="X31" s="60"/>
    </row>
    <row r="32" spans="1:24" x14ac:dyDescent="0.25">
      <c r="A32" s="60">
        <v>1602</v>
      </c>
      <c r="B32" s="61">
        <v>43830</v>
      </c>
      <c r="C32" s="61">
        <v>43830</v>
      </c>
      <c r="D32" s="62">
        <v>1891373</v>
      </c>
      <c r="E32" s="62">
        <v>1895163</v>
      </c>
      <c r="F32" s="60" t="s">
        <v>323</v>
      </c>
      <c r="G32" s="63">
        <v>900062917.89999998</v>
      </c>
      <c r="H32" s="60" t="s">
        <v>324</v>
      </c>
      <c r="I32" s="60">
        <v>3152</v>
      </c>
      <c r="J32" s="61">
        <v>43830</v>
      </c>
      <c r="K32" s="60">
        <v>0</v>
      </c>
      <c r="L32" s="62">
        <v>1895163</v>
      </c>
      <c r="M32" s="62">
        <v>3790</v>
      </c>
      <c r="N32" s="62">
        <v>1891373</v>
      </c>
      <c r="O32" s="60">
        <v>0</v>
      </c>
      <c r="P32" s="60">
        <v>1070</v>
      </c>
      <c r="Q32" s="60">
        <v>32</v>
      </c>
      <c r="R32" s="60" t="s">
        <v>102</v>
      </c>
      <c r="S32" s="60" t="s">
        <v>101</v>
      </c>
      <c r="T32" s="60"/>
      <c r="U32" s="60"/>
      <c r="V32" s="60"/>
      <c r="W32" s="60"/>
      <c r="X32" s="60"/>
    </row>
    <row r="33" spans="1:24" x14ac:dyDescent="0.25">
      <c r="A33" s="60">
        <v>1603</v>
      </c>
      <c r="B33" s="61">
        <v>43830</v>
      </c>
      <c r="C33" s="61">
        <v>43830</v>
      </c>
      <c r="D33" s="62">
        <v>728926</v>
      </c>
      <c r="E33" s="62">
        <v>764874</v>
      </c>
      <c r="F33" s="60" t="s">
        <v>325</v>
      </c>
      <c r="G33" s="63">
        <v>811009788.79999995</v>
      </c>
      <c r="H33" s="60" t="s">
        <v>326</v>
      </c>
      <c r="I33" s="60">
        <v>12183</v>
      </c>
      <c r="J33" s="61">
        <v>43830</v>
      </c>
      <c r="K33" s="60">
        <v>0</v>
      </c>
      <c r="L33" s="62">
        <v>764874</v>
      </c>
      <c r="M33" s="62">
        <v>35948</v>
      </c>
      <c r="N33" s="62">
        <v>728926</v>
      </c>
      <c r="O33" s="60">
        <v>0</v>
      </c>
      <c r="P33" s="60">
        <v>8</v>
      </c>
      <c r="Q33" s="60">
        <v>32</v>
      </c>
      <c r="R33" s="60" t="s">
        <v>102</v>
      </c>
      <c r="S33" s="60" t="s">
        <v>101</v>
      </c>
      <c r="T33" s="60"/>
      <c r="U33" s="60"/>
      <c r="V33" s="60"/>
      <c r="W33" s="60"/>
      <c r="X33" s="60"/>
    </row>
    <row r="34" spans="1:24" x14ac:dyDescent="0.25">
      <c r="A34" s="60">
        <v>1604</v>
      </c>
      <c r="B34" s="61">
        <v>43830</v>
      </c>
      <c r="C34" s="61">
        <v>43830</v>
      </c>
      <c r="D34" s="62">
        <v>11473150</v>
      </c>
      <c r="E34" s="62">
        <v>12350000</v>
      </c>
      <c r="F34" s="60" t="s">
        <v>327</v>
      </c>
      <c r="G34" s="63">
        <v>8310980.2000000002</v>
      </c>
      <c r="H34" s="60" t="s">
        <v>328</v>
      </c>
      <c r="I34" s="60">
        <v>115658</v>
      </c>
      <c r="J34" s="61">
        <v>43816</v>
      </c>
      <c r="K34" s="60">
        <v>0</v>
      </c>
      <c r="L34" s="62">
        <v>12350000</v>
      </c>
      <c r="M34" s="62">
        <v>876850</v>
      </c>
      <c r="N34" s="62">
        <v>11473150</v>
      </c>
      <c r="O34" s="60">
        <v>0</v>
      </c>
      <c r="P34" s="60">
        <v>1138</v>
      </c>
      <c r="Q34" s="60">
        <v>50</v>
      </c>
      <c r="R34" s="60" t="s">
        <v>135</v>
      </c>
      <c r="S34" s="60" t="s">
        <v>111</v>
      </c>
      <c r="T34" s="60"/>
      <c r="U34" s="60"/>
      <c r="V34" s="60"/>
      <c r="W34" s="60"/>
      <c r="X34" s="60"/>
    </row>
    <row r="35" spans="1:24" x14ac:dyDescent="0.25">
      <c r="A35" s="60">
        <v>1605</v>
      </c>
      <c r="B35" s="61">
        <v>43830</v>
      </c>
      <c r="C35" s="61">
        <v>43830</v>
      </c>
      <c r="D35" s="62">
        <v>14910375</v>
      </c>
      <c r="E35" s="62">
        <v>14910375</v>
      </c>
      <c r="F35" s="60" t="s">
        <v>329</v>
      </c>
      <c r="G35" s="63">
        <v>900425129</v>
      </c>
      <c r="H35" s="60" t="s">
        <v>254</v>
      </c>
      <c r="I35" s="60">
        <v>4624</v>
      </c>
      <c r="J35" s="61">
        <v>43830</v>
      </c>
      <c r="K35" s="60">
        <v>0</v>
      </c>
      <c r="L35" s="62">
        <v>14910375</v>
      </c>
      <c r="M35" s="62">
        <v>0</v>
      </c>
      <c r="N35" s="62">
        <v>14910375</v>
      </c>
      <c r="O35" s="60">
        <v>0</v>
      </c>
      <c r="P35" s="60">
        <v>1174</v>
      </c>
      <c r="Q35" s="60">
        <v>17</v>
      </c>
      <c r="R35" s="60" t="s">
        <v>71</v>
      </c>
      <c r="S35" s="60" t="s">
        <v>70</v>
      </c>
      <c r="T35" s="60"/>
      <c r="U35" s="60"/>
      <c r="V35" s="60"/>
      <c r="W35" s="60"/>
      <c r="X35" s="60"/>
    </row>
    <row r="36" spans="1:24" x14ac:dyDescent="0.25">
      <c r="A36" s="60">
        <v>1612</v>
      </c>
      <c r="B36" s="61">
        <v>43830</v>
      </c>
      <c r="C36" s="61">
        <v>43830</v>
      </c>
      <c r="D36" s="62">
        <v>2046135</v>
      </c>
      <c r="E36" s="62">
        <v>2046135</v>
      </c>
      <c r="F36" s="60" t="s">
        <v>330</v>
      </c>
      <c r="G36" s="63">
        <v>900092385.89999998</v>
      </c>
      <c r="H36" s="60" t="s">
        <v>331</v>
      </c>
      <c r="I36" s="60">
        <v>1046157549</v>
      </c>
      <c r="J36" s="61">
        <v>43830</v>
      </c>
      <c r="K36" s="60">
        <v>0</v>
      </c>
      <c r="L36" s="62">
        <v>86721</v>
      </c>
      <c r="M36" s="62">
        <v>0</v>
      </c>
      <c r="N36" s="62">
        <v>86721</v>
      </c>
      <c r="O36" s="60">
        <v>0</v>
      </c>
      <c r="P36" s="60">
        <v>7</v>
      </c>
      <c r="Q36" s="60">
        <v>26</v>
      </c>
      <c r="R36" s="60" t="s">
        <v>90</v>
      </c>
      <c r="S36" s="60" t="s">
        <v>89</v>
      </c>
      <c r="T36" s="60"/>
      <c r="U36" s="60"/>
      <c r="V36" s="60"/>
      <c r="W36" s="60"/>
      <c r="X36" s="60"/>
    </row>
    <row r="37" spans="1:24" x14ac:dyDescent="0.25">
      <c r="A37" s="60">
        <v>1612</v>
      </c>
      <c r="B37" s="61">
        <v>43830</v>
      </c>
      <c r="C37" s="61">
        <v>43830</v>
      </c>
      <c r="D37" s="62">
        <v>2046135</v>
      </c>
      <c r="E37" s="62">
        <v>2046135</v>
      </c>
      <c r="F37" s="60" t="s">
        <v>330</v>
      </c>
      <c r="G37" s="63">
        <v>900092385.89999998</v>
      </c>
      <c r="H37" s="60" t="s">
        <v>331</v>
      </c>
      <c r="I37" s="60">
        <v>1429080462</v>
      </c>
      <c r="J37" s="61">
        <v>43825</v>
      </c>
      <c r="K37" s="60">
        <v>5902</v>
      </c>
      <c r="L37" s="62">
        <v>42793</v>
      </c>
      <c r="M37" s="62">
        <v>0</v>
      </c>
      <c r="N37" s="62">
        <v>42793</v>
      </c>
      <c r="O37" s="60">
        <v>0</v>
      </c>
      <c r="P37" s="60">
        <v>7</v>
      </c>
      <c r="Q37" s="60">
        <v>26</v>
      </c>
      <c r="R37" s="60" t="s">
        <v>90</v>
      </c>
      <c r="S37" s="60" t="s">
        <v>89</v>
      </c>
      <c r="T37" s="60"/>
      <c r="U37" s="60"/>
      <c r="V37" s="60"/>
      <c r="W37" s="60"/>
      <c r="X37" s="60"/>
    </row>
    <row r="38" spans="1:24" x14ac:dyDescent="0.25">
      <c r="A38" s="60">
        <v>1612</v>
      </c>
      <c r="B38" s="61">
        <v>43830</v>
      </c>
      <c r="C38" s="61">
        <v>43830</v>
      </c>
      <c r="D38" s="62">
        <v>2046135</v>
      </c>
      <c r="E38" s="62">
        <v>2046135</v>
      </c>
      <c r="F38" s="60" t="s">
        <v>330</v>
      </c>
      <c r="G38" s="63">
        <v>900092385.89999998</v>
      </c>
      <c r="H38" s="60" t="s">
        <v>331</v>
      </c>
      <c r="I38" s="60">
        <v>1429080960</v>
      </c>
      <c r="J38" s="61">
        <v>43825</v>
      </c>
      <c r="K38" s="60">
        <v>83567</v>
      </c>
      <c r="L38" s="62">
        <v>605858</v>
      </c>
      <c r="M38" s="62">
        <v>0</v>
      </c>
      <c r="N38" s="62">
        <v>605858</v>
      </c>
      <c r="O38" s="60">
        <v>0</v>
      </c>
      <c r="P38" s="60">
        <v>7</v>
      </c>
      <c r="Q38" s="60">
        <v>26</v>
      </c>
      <c r="R38" s="60" t="s">
        <v>90</v>
      </c>
      <c r="S38" s="60" t="s">
        <v>89</v>
      </c>
      <c r="T38" s="60"/>
      <c r="U38" s="60"/>
      <c r="V38" s="60"/>
      <c r="W38" s="60"/>
      <c r="X38" s="60"/>
    </row>
    <row r="39" spans="1:24" x14ac:dyDescent="0.25">
      <c r="A39" s="60">
        <v>1612</v>
      </c>
      <c r="B39" s="61">
        <v>43830</v>
      </c>
      <c r="C39" s="61">
        <v>43830</v>
      </c>
      <c r="D39" s="62">
        <v>2046135</v>
      </c>
      <c r="E39" s="62">
        <v>2046135</v>
      </c>
      <c r="F39" s="60" t="s">
        <v>330</v>
      </c>
      <c r="G39" s="63">
        <v>900092385.89999998</v>
      </c>
      <c r="H39" s="60" t="s">
        <v>331</v>
      </c>
      <c r="I39" s="60">
        <v>1429081498</v>
      </c>
      <c r="J39" s="61">
        <v>43825</v>
      </c>
      <c r="K39" s="60">
        <v>62496</v>
      </c>
      <c r="L39" s="62">
        <v>453096</v>
      </c>
      <c r="M39" s="62">
        <v>0</v>
      </c>
      <c r="N39" s="62">
        <v>453096</v>
      </c>
      <c r="O39" s="60">
        <v>0</v>
      </c>
      <c r="P39" s="60">
        <v>7</v>
      </c>
      <c r="Q39" s="60">
        <v>26</v>
      </c>
      <c r="R39" s="60" t="s">
        <v>90</v>
      </c>
      <c r="S39" s="60" t="s">
        <v>89</v>
      </c>
      <c r="T39" s="60"/>
      <c r="U39" s="60"/>
      <c r="V39" s="60"/>
      <c r="W39" s="60"/>
      <c r="X39" s="60"/>
    </row>
    <row r="40" spans="1:24" x14ac:dyDescent="0.25">
      <c r="A40" s="60">
        <v>1612</v>
      </c>
      <c r="B40" s="61">
        <v>43830</v>
      </c>
      <c r="C40" s="61">
        <v>43830</v>
      </c>
      <c r="D40" s="62">
        <v>2046135</v>
      </c>
      <c r="E40" s="62">
        <v>2046135</v>
      </c>
      <c r="F40" s="60" t="s">
        <v>330</v>
      </c>
      <c r="G40" s="63">
        <v>900092385.89999998</v>
      </c>
      <c r="H40" s="60" t="s">
        <v>331</v>
      </c>
      <c r="I40" s="60">
        <v>1429088832</v>
      </c>
      <c r="J40" s="61">
        <v>43825</v>
      </c>
      <c r="K40" s="60">
        <v>136938</v>
      </c>
      <c r="L40" s="62">
        <v>857667</v>
      </c>
      <c r="M40" s="62">
        <v>0</v>
      </c>
      <c r="N40" s="62">
        <v>857667</v>
      </c>
      <c r="O40" s="60">
        <v>0</v>
      </c>
      <c r="P40" s="60">
        <v>7</v>
      </c>
      <c r="Q40" s="60">
        <v>26</v>
      </c>
      <c r="R40" s="60" t="s">
        <v>90</v>
      </c>
      <c r="S40" s="60" t="s">
        <v>89</v>
      </c>
      <c r="T40" s="60"/>
      <c r="U40" s="60"/>
      <c r="V40" s="60"/>
      <c r="W40" s="60"/>
      <c r="X40" s="60"/>
    </row>
    <row r="41" spans="1:24" x14ac:dyDescent="0.25">
      <c r="A41" s="60">
        <v>1613</v>
      </c>
      <c r="B41" s="61">
        <v>43830</v>
      </c>
      <c r="C41" s="61">
        <v>43830</v>
      </c>
      <c r="D41" s="62">
        <v>1884011</v>
      </c>
      <c r="E41" s="62">
        <v>1887787</v>
      </c>
      <c r="F41" s="60" t="s">
        <v>323</v>
      </c>
      <c r="G41" s="63">
        <v>900062917.89999998</v>
      </c>
      <c r="H41" s="60" t="s">
        <v>324</v>
      </c>
      <c r="I41" s="60">
        <v>3150</v>
      </c>
      <c r="J41" s="61">
        <v>43830</v>
      </c>
      <c r="K41" s="60">
        <v>0</v>
      </c>
      <c r="L41" s="62">
        <v>1887787</v>
      </c>
      <c r="M41" s="62">
        <v>3776</v>
      </c>
      <c r="N41" s="62">
        <v>1884011</v>
      </c>
      <c r="O41" s="60">
        <v>0</v>
      </c>
      <c r="P41" s="60">
        <v>1070</v>
      </c>
      <c r="Q41" s="60">
        <v>32</v>
      </c>
      <c r="R41" s="60" t="s">
        <v>102</v>
      </c>
      <c r="S41" s="60" t="s">
        <v>101</v>
      </c>
      <c r="T41" s="60"/>
      <c r="U41" s="60"/>
      <c r="V41" s="60"/>
      <c r="W41" s="60"/>
      <c r="X41" s="60"/>
    </row>
  </sheetData>
  <pageMargins left="0.7" right="0.7" top="0.75" bottom="0.75" header="0.3" footer="0.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70"/>
  <sheetViews>
    <sheetView topLeftCell="G1" workbookViewId="0">
      <selection activeCell="K5" sqref="K5"/>
    </sheetView>
  </sheetViews>
  <sheetFormatPr baseColWidth="10" defaultRowHeight="13.2" x14ac:dyDescent="0.25"/>
  <cols>
    <col min="6" max="22" width="15.44140625" customWidth="1"/>
  </cols>
  <sheetData>
    <row r="1" spans="1:21" ht="24" x14ac:dyDescent="0.25">
      <c r="A1" s="1" t="s">
        <v>143</v>
      </c>
      <c r="B1" s="1" t="s">
        <v>144</v>
      </c>
      <c r="C1" s="1" t="s">
        <v>145</v>
      </c>
      <c r="D1" s="1" t="s">
        <v>146</v>
      </c>
      <c r="E1" s="1" t="s">
        <v>147</v>
      </c>
      <c r="F1" s="1" t="s">
        <v>148</v>
      </c>
      <c r="G1" s="1" t="s">
        <v>149</v>
      </c>
      <c r="H1" s="1" t="s">
        <v>150</v>
      </c>
      <c r="I1" s="1" t="s">
        <v>151</v>
      </c>
      <c r="J1" s="1" t="s">
        <v>152</v>
      </c>
      <c r="K1" s="2" t="s">
        <v>153</v>
      </c>
      <c r="L1" s="2" t="s">
        <v>154</v>
      </c>
      <c r="M1" s="2" t="s">
        <v>155</v>
      </c>
      <c r="N1" s="1" t="s">
        <v>156</v>
      </c>
      <c r="O1" s="1" t="s">
        <v>157</v>
      </c>
      <c r="P1" s="1" t="s">
        <v>332</v>
      </c>
      <c r="Q1" s="1" t="s">
        <v>333</v>
      </c>
      <c r="R1" s="2" t="s">
        <v>158</v>
      </c>
      <c r="S1" s="3" t="s">
        <v>159</v>
      </c>
      <c r="T1" s="3" t="s">
        <v>160</v>
      </c>
      <c r="U1" s="46" t="s">
        <v>334</v>
      </c>
    </row>
    <row r="2" spans="1:21" ht="24" x14ac:dyDescent="0.25">
      <c r="A2" s="49" t="s">
        <v>165</v>
      </c>
      <c r="B2" s="4"/>
      <c r="C2" s="4"/>
      <c r="D2" s="4"/>
      <c r="E2" s="5"/>
      <c r="F2" s="1">
        <f t="shared" ref="F2:R2" si="0">+F3+F43</f>
        <v>17037252400</v>
      </c>
      <c r="G2" s="1">
        <f t="shared" si="0"/>
        <v>0</v>
      </c>
      <c r="H2" s="1">
        <f t="shared" si="0"/>
        <v>0</v>
      </c>
      <c r="I2" s="1">
        <f t="shared" si="0"/>
        <v>0</v>
      </c>
      <c r="J2" s="1">
        <f t="shared" si="0"/>
        <v>0</v>
      </c>
      <c r="K2" s="1">
        <f t="shared" si="0"/>
        <v>0</v>
      </c>
      <c r="L2" s="1">
        <f t="shared" si="0"/>
        <v>477380</v>
      </c>
      <c r="M2" s="1">
        <f t="shared" si="0"/>
        <v>3296</v>
      </c>
      <c r="N2" s="1">
        <f t="shared" si="0"/>
        <v>6728085592</v>
      </c>
      <c r="O2" s="1">
        <f t="shared" si="0"/>
        <v>11196485139</v>
      </c>
      <c r="P2" s="1">
        <f>+P3+P43</f>
        <v>-6728082296</v>
      </c>
      <c r="Q2" s="1">
        <f>+Q3+Q43</f>
        <v>-4468399547</v>
      </c>
      <c r="R2" s="1" t="e">
        <f t="shared" si="0"/>
        <v>#VALUE!</v>
      </c>
      <c r="S2" s="3" t="e">
        <f>+M2/K2</f>
        <v>#DIV/0!</v>
      </c>
      <c r="T2" s="3" t="e">
        <f>+N2/K2</f>
        <v>#DIV/0!</v>
      </c>
      <c r="U2" s="1">
        <f>+U3+U43</f>
        <v>0</v>
      </c>
    </row>
    <row r="3" spans="1:21" x14ac:dyDescent="0.25">
      <c r="A3" s="6" t="s">
        <v>166</v>
      </c>
      <c r="B3" s="7"/>
      <c r="C3" s="7"/>
      <c r="D3" s="7"/>
      <c r="E3" s="8"/>
      <c r="F3" s="9">
        <v>6601797000</v>
      </c>
      <c r="G3" s="9">
        <f t="shared" ref="G3:R3" si="1">+G4+G22+G38+G41</f>
        <v>0</v>
      </c>
      <c r="H3" s="9">
        <f t="shared" si="1"/>
        <v>0</v>
      </c>
      <c r="I3" s="9">
        <f t="shared" si="1"/>
        <v>0</v>
      </c>
      <c r="J3" s="9">
        <f t="shared" si="1"/>
        <v>0</v>
      </c>
      <c r="K3" s="9">
        <f t="shared" si="1"/>
        <v>0</v>
      </c>
      <c r="L3" s="9">
        <f t="shared" si="1"/>
        <v>278388</v>
      </c>
      <c r="M3" s="9">
        <f t="shared" si="1"/>
        <v>1831</v>
      </c>
      <c r="N3" s="9">
        <f t="shared" si="1"/>
        <v>2265698388</v>
      </c>
      <c r="O3" s="9">
        <f t="shared" si="1"/>
        <v>4485319570</v>
      </c>
      <c r="P3" s="9">
        <f>+P4+P22+P38+P41</f>
        <v>-2265696557</v>
      </c>
      <c r="Q3" s="9">
        <f>+Q4+Q22+Q38+Q41</f>
        <v>-2219621182</v>
      </c>
      <c r="R3" s="9" t="e">
        <f t="shared" si="1"/>
        <v>#VALUE!</v>
      </c>
      <c r="S3" s="10" t="e">
        <f>+M3/K3</f>
        <v>#DIV/0!</v>
      </c>
      <c r="T3" s="10" t="e">
        <f>+N3/K3</f>
        <v>#DIV/0!</v>
      </c>
      <c r="U3" s="9">
        <f>+U4+U22+U38+U41</f>
        <v>0</v>
      </c>
    </row>
    <row r="4" spans="1:21" x14ac:dyDescent="0.25">
      <c r="A4" s="11" t="s">
        <v>35</v>
      </c>
      <c r="B4" s="12"/>
      <c r="C4" s="12"/>
      <c r="D4" s="12"/>
      <c r="E4" s="13"/>
      <c r="F4" s="14">
        <v>5500500000</v>
      </c>
      <c r="G4" s="14">
        <f t="shared" ref="G4:R4" si="2">SUM(G5:G21)</f>
        <v>0</v>
      </c>
      <c r="H4" s="14">
        <f t="shared" si="2"/>
        <v>0</v>
      </c>
      <c r="I4" s="14">
        <f t="shared" si="2"/>
        <v>0</v>
      </c>
      <c r="J4" s="14">
        <f t="shared" si="2"/>
        <v>0</v>
      </c>
      <c r="K4" s="14">
        <f>SUM(K5:K21)</f>
        <v>0</v>
      </c>
      <c r="L4" s="14">
        <f t="shared" si="2"/>
        <v>134649</v>
      </c>
      <c r="M4" s="14">
        <f t="shared" si="2"/>
        <v>418</v>
      </c>
      <c r="N4" s="14">
        <f t="shared" si="2"/>
        <v>1714594696</v>
      </c>
      <c r="O4" s="14">
        <f t="shared" si="2"/>
        <v>1579344360</v>
      </c>
      <c r="P4" s="14">
        <f>SUM(P5:P21)</f>
        <v>-1714594278</v>
      </c>
      <c r="Q4" s="14">
        <f>SUM(Q5:Q21)</f>
        <v>135250336</v>
      </c>
      <c r="R4" s="14" t="e">
        <f t="shared" si="2"/>
        <v>#VALUE!</v>
      </c>
      <c r="S4" s="15" t="e">
        <f>+M4/K4</f>
        <v>#DIV/0!</v>
      </c>
      <c r="T4" s="15" t="e">
        <f>+N4/K4</f>
        <v>#DIV/0!</v>
      </c>
      <c r="U4" s="14">
        <f>SUM(U5:U21)</f>
        <v>0</v>
      </c>
    </row>
    <row r="5" spans="1:21" x14ac:dyDescent="0.25">
      <c r="A5" s="16" t="s">
        <v>36</v>
      </c>
      <c r="B5" s="16" t="s">
        <v>167</v>
      </c>
      <c r="C5" s="16">
        <v>1</v>
      </c>
      <c r="D5" s="16" t="s">
        <v>37</v>
      </c>
      <c r="E5" s="16" t="s">
        <v>168</v>
      </c>
      <c r="F5" s="17">
        <v>2600000000</v>
      </c>
      <c r="G5" s="17" t="str">
        <f>+gastos!I2</f>
        <v>PráctArtísticas&amp;Culturale</v>
      </c>
      <c r="H5" s="17" t="str">
        <f>+gastos!J2</f>
        <v>Divulgación “procesos de circulación artística y cultural”  Antioquia(900052)</v>
      </c>
      <c r="I5" s="17" t="str">
        <f>+gastos!K2</f>
        <v>Programación propia</v>
      </c>
      <c r="J5" s="17" t="str">
        <f>+gastos!L2</f>
        <v>GASTOS</v>
      </c>
      <c r="K5" s="45" t="str">
        <f>+gastos!M2</f>
        <v>Programación propia</v>
      </c>
      <c r="L5" s="45">
        <f>+gastos!N2</f>
        <v>7893</v>
      </c>
      <c r="M5" s="45">
        <f>+gastos!O2</f>
        <v>1</v>
      </c>
      <c r="N5" s="17">
        <f>+gastos!Q2</f>
        <v>125000000</v>
      </c>
      <c r="O5" s="17">
        <f>+gastos!W2</f>
        <v>124427349</v>
      </c>
      <c r="P5" s="17">
        <f>M5-N5</f>
        <v>-124999999</v>
      </c>
      <c r="Q5" s="17">
        <f>N5-O5</f>
        <v>572651</v>
      </c>
      <c r="R5" s="17" t="e">
        <f>K5-M5</f>
        <v>#VALUE!</v>
      </c>
      <c r="S5" s="18" t="e">
        <f>+M5/K5</f>
        <v>#VALUE!</v>
      </c>
      <c r="T5" s="47" t="e">
        <f>+N5/K5</f>
        <v>#VALUE!</v>
      </c>
      <c r="U5" s="17">
        <f>+gastos!AD2</f>
        <v>0</v>
      </c>
    </row>
    <row r="6" spans="1:21" x14ac:dyDescent="0.25">
      <c r="A6" s="16" t="s">
        <v>38</v>
      </c>
      <c r="B6" s="16" t="s">
        <v>169</v>
      </c>
      <c r="C6" s="16">
        <v>2</v>
      </c>
      <c r="D6" s="16" t="s">
        <v>39</v>
      </c>
      <c r="E6" s="16" t="s">
        <v>168</v>
      </c>
      <c r="F6" s="17">
        <v>30000000</v>
      </c>
      <c r="G6" s="17" t="str">
        <f>+gastos!I3</f>
        <v>PráctArtísticas&amp;Culturale</v>
      </c>
      <c r="H6" s="17" t="str">
        <f>+gastos!J3</f>
        <v>Divulgación “procesos de circulación artística y cultural”  Antioquia(900052)</v>
      </c>
      <c r="I6" s="17" t="str">
        <f>+gastos!K3</f>
        <v>Iniciativas culturales municipales</v>
      </c>
      <c r="J6" s="17" t="str">
        <f>+gastos!L3</f>
        <v>GASTOS</v>
      </c>
      <c r="K6" s="45" t="str">
        <f>+gastos!M3</f>
        <v>Iniciativas culturales municipales</v>
      </c>
      <c r="L6" s="45">
        <f>+gastos!N3</f>
        <v>7894</v>
      </c>
      <c r="M6" s="45">
        <f>+gastos!O3</f>
        <v>2</v>
      </c>
      <c r="N6" s="17">
        <f>+gastos!Q3</f>
        <v>155000000</v>
      </c>
      <c r="O6" s="17">
        <f>+gastos!W3</f>
        <v>0</v>
      </c>
      <c r="P6" s="17">
        <f t="shared" ref="P6:P21" si="3">M6-N6</f>
        <v>-154999998</v>
      </c>
      <c r="Q6" s="17">
        <f t="shared" ref="Q6:Q21" si="4">N6-O6</f>
        <v>155000000</v>
      </c>
      <c r="R6" s="17" t="e">
        <f t="shared" ref="R6:R21" si="5">K6-M6</f>
        <v>#VALUE!</v>
      </c>
      <c r="S6" s="18" t="e">
        <f t="shared" ref="S6:S66" si="6">+M6/K6</f>
        <v>#VALUE!</v>
      </c>
      <c r="T6" s="47" t="e">
        <f t="shared" ref="T6:T66" si="7">+N6/K6</f>
        <v>#VALUE!</v>
      </c>
      <c r="U6" s="17">
        <f>+gastos!AD3</f>
        <v>0</v>
      </c>
    </row>
    <row r="7" spans="1:21" x14ac:dyDescent="0.25">
      <c r="A7" s="16" t="s">
        <v>40</v>
      </c>
      <c r="B7" s="16" t="s">
        <v>170</v>
      </c>
      <c r="C7" s="16">
        <v>3</v>
      </c>
      <c r="D7" s="16" t="s">
        <v>41</v>
      </c>
      <c r="E7" s="16" t="s">
        <v>168</v>
      </c>
      <c r="F7" s="17">
        <v>600000000</v>
      </c>
      <c r="G7" s="17" t="str">
        <f>+gastos!I4</f>
        <v>PráctArtísticas&amp;Culturale</v>
      </c>
      <c r="H7" s="17" t="str">
        <f>+gastos!J4</f>
        <v>Divulgación “procesos de circulación artística y cultural”  Antioquia(900052)</v>
      </c>
      <c r="I7" s="17" t="str">
        <f>+gastos!K4</f>
        <v>Apoyo a Festivales</v>
      </c>
      <c r="J7" s="17" t="str">
        <f>+gastos!L4</f>
        <v>GASTOS</v>
      </c>
      <c r="K7" s="45" t="str">
        <f>+gastos!M4</f>
        <v>Apoyo a Festivales</v>
      </c>
      <c r="L7" s="45">
        <f>+gastos!N4</f>
        <v>7895</v>
      </c>
      <c r="M7" s="45">
        <f>+gastos!O4</f>
        <v>3</v>
      </c>
      <c r="N7" s="17">
        <f>+gastos!Q4</f>
        <v>175376928</v>
      </c>
      <c r="O7" s="17">
        <f>+gastos!W4</f>
        <v>163262720</v>
      </c>
      <c r="P7" s="17">
        <f t="shared" si="3"/>
        <v>-175376925</v>
      </c>
      <c r="Q7" s="17">
        <f t="shared" si="4"/>
        <v>12114208</v>
      </c>
      <c r="R7" s="17" t="e">
        <f t="shared" si="5"/>
        <v>#VALUE!</v>
      </c>
      <c r="S7" s="18" t="e">
        <f t="shared" si="6"/>
        <v>#VALUE!</v>
      </c>
      <c r="T7" s="47" t="e">
        <f t="shared" si="7"/>
        <v>#VALUE!</v>
      </c>
      <c r="U7" s="17">
        <f>+gastos!AD4</f>
        <v>0</v>
      </c>
    </row>
    <row r="8" spans="1:21" x14ac:dyDescent="0.25">
      <c r="A8" s="16" t="s">
        <v>42</v>
      </c>
      <c r="B8" s="16" t="s">
        <v>171</v>
      </c>
      <c r="C8" s="16">
        <v>4</v>
      </c>
      <c r="D8" s="16" t="s">
        <v>43</v>
      </c>
      <c r="E8" s="16" t="s">
        <v>168</v>
      </c>
      <c r="F8" s="17">
        <v>120000000</v>
      </c>
      <c r="G8" s="17" t="str">
        <f>+gastos!I5</f>
        <v>PráctArtísticas&amp;Culturale</v>
      </c>
      <c r="H8" s="17" t="str">
        <f>+gastos!J5</f>
        <v>Divulgación “procesos de circulación artística y cultural”  Antioquia(900052)</v>
      </c>
      <c r="I8" s="17" t="str">
        <f>+gastos!K5</f>
        <v>Procesos y/o actividades de fomento a la lectura</v>
      </c>
      <c r="J8" s="17" t="str">
        <f>+gastos!L5</f>
        <v>GASTOS</v>
      </c>
      <c r="K8" s="45" t="str">
        <f>+gastos!M5</f>
        <v>Procesos y/o actividades de fomento a la lectura</v>
      </c>
      <c r="L8" s="17">
        <f>+gastos!N5</f>
        <v>7896</v>
      </c>
      <c r="M8" s="45">
        <f>+gastos!O5</f>
        <v>4</v>
      </c>
      <c r="N8" s="17">
        <f>+gastos!Q5</f>
        <v>5000000</v>
      </c>
      <c r="O8" s="17">
        <f>+gastos!W5</f>
        <v>5000000</v>
      </c>
      <c r="P8" s="17">
        <f t="shared" si="3"/>
        <v>-4999996</v>
      </c>
      <c r="Q8" s="17">
        <f t="shared" si="4"/>
        <v>0</v>
      </c>
      <c r="R8" s="17" t="e">
        <f t="shared" si="5"/>
        <v>#VALUE!</v>
      </c>
      <c r="S8" s="18" t="e">
        <f t="shared" si="6"/>
        <v>#VALUE!</v>
      </c>
      <c r="T8" s="47" t="e">
        <f>+N8/K8</f>
        <v>#VALUE!</v>
      </c>
      <c r="U8" s="17">
        <f>+gastos!AD5</f>
        <v>0</v>
      </c>
    </row>
    <row r="9" spans="1:21" x14ac:dyDescent="0.25">
      <c r="A9" s="16" t="s">
        <v>44</v>
      </c>
      <c r="B9" s="16" t="s">
        <v>172</v>
      </c>
      <c r="C9" s="16">
        <v>5</v>
      </c>
      <c r="D9" s="16" t="s">
        <v>45</v>
      </c>
      <c r="E9" s="16" t="s">
        <v>168</v>
      </c>
      <c r="F9" s="17">
        <v>400000</v>
      </c>
      <c r="G9" s="17" t="str">
        <f>+gastos!I6</f>
        <v>PráctArtísticas&amp;Culturale</v>
      </c>
      <c r="H9" s="17" t="str">
        <f>+gastos!J6</f>
        <v>Divulgación “procesos de circulación artística y cultural”  Antioquia(900052)</v>
      </c>
      <c r="I9" s="17" t="str">
        <f>+gastos!K6</f>
        <v>Seguimiento a  iniciativas emprendedoras</v>
      </c>
      <c r="J9" s="17" t="str">
        <f>+gastos!L6</f>
        <v>GASTOS</v>
      </c>
      <c r="K9" s="45" t="str">
        <f>+gastos!M6</f>
        <v>Seguimiento a  iniciativas emprendedoras</v>
      </c>
      <c r="L9" s="17">
        <f>+gastos!N6</f>
        <v>7897</v>
      </c>
      <c r="M9" s="45">
        <f>+gastos!O6</f>
        <v>5</v>
      </c>
      <c r="N9" s="17">
        <f>+gastos!Q6</f>
        <v>5000000</v>
      </c>
      <c r="O9" s="17">
        <f>+gastos!W6</f>
        <v>0</v>
      </c>
      <c r="P9" s="17">
        <f t="shared" si="3"/>
        <v>-4999995</v>
      </c>
      <c r="Q9" s="17">
        <f t="shared" si="4"/>
        <v>5000000</v>
      </c>
      <c r="R9" s="17" t="e">
        <f t="shared" si="5"/>
        <v>#VALUE!</v>
      </c>
      <c r="S9" s="18" t="e">
        <f t="shared" si="6"/>
        <v>#VALUE!</v>
      </c>
      <c r="T9" s="47" t="e">
        <f t="shared" si="7"/>
        <v>#VALUE!</v>
      </c>
      <c r="U9" s="17">
        <f>+gastos!AD6</f>
        <v>0</v>
      </c>
    </row>
    <row r="10" spans="1:21" x14ac:dyDescent="0.25">
      <c r="A10" s="19" t="s">
        <v>46</v>
      </c>
      <c r="B10" s="16" t="s">
        <v>173</v>
      </c>
      <c r="C10" s="16">
        <v>6</v>
      </c>
      <c r="D10" s="16" t="s">
        <v>47</v>
      </c>
      <c r="E10" s="16" t="s">
        <v>168</v>
      </c>
      <c r="F10" s="17">
        <v>5000000</v>
      </c>
      <c r="G10" s="17" t="str">
        <f>+gastos!I7</f>
        <v>PráctArtísticas&amp;Culturale</v>
      </c>
      <c r="H10" s="17" t="str">
        <f>+gastos!J7</f>
        <v>Divulgación “procesos de circulación artística y cultural”  Antioquia(900052)</v>
      </c>
      <c r="I10" s="17" t="str">
        <f>+gastos!K7</f>
        <v>Publicaciones apoyadas por el ICPA (Ord 24)</v>
      </c>
      <c r="J10" s="17" t="str">
        <f>+gastos!L7</f>
        <v>GASTOS</v>
      </c>
      <c r="K10" s="45" t="str">
        <f>+gastos!M7</f>
        <v>Publicaciones apoyadas por el ICPA (Ord 24)</v>
      </c>
      <c r="L10" s="45">
        <f>+gastos!N7</f>
        <v>7898</v>
      </c>
      <c r="M10" s="45">
        <f>+gastos!O7</f>
        <v>6</v>
      </c>
      <c r="N10" s="17">
        <f>+gastos!Q7</f>
        <v>100000000</v>
      </c>
      <c r="O10" s="17">
        <f>+gastos!W7</f>
        <v>96000000</v>
      </c>
      <c r="P10" s="17">
        <f t="shared" si="3"/>
        <v>-99999994</v>
      </c>
      <c r="Q10" s="17">
        <f t="shared" si="4"/>
        <v>4000000</v>
      </c>
      <c r="R10" s="17" t="e">
        <f t="shared" si="5"/>
        <v>#VALUE!</v>
      </c>
      <c r="S10" s="18" t="e">
        <f t="shared" si="6"/>
        <v>#VALUE!</v>
      </c>
      <c r="T10" s="47" t="e">
        <f t="shared" si="7"/>
        <v>#VALUE!</v>
      </c>
      <c r="U10" s="17">
        <f>+gastos!AD7</f>
        <v>0</v>
      </c>
    </row>
    <row r="11" spans="1:21" x14ac:dyDescent="0.25">
      <c r="A11" s="16" t="s">
        <v>50</v>
      </c>
      <c r="B11" s="16" t="s">
        <v>174</v>
      </c>
      <c r="C11" s="16">
        <v>7</v>
      </c>
      <c r="D11" s="16" t="s">
        <v>51</v>
      </c>
      <c r="E11" s="16" t="s">
        <v>168</v>
      </c>
      <c r="F11" s="17">
        <v>500000000</v>
      </c>
      <c r="G11" s="17" t="str">
        <f>+gastos!I8</f>
        <v>PráctArtísticas&amp;Culturale</v>
      </c>
      <c r="H11" s="17" t="str">
        <f>+gastos!J8</f>
        <v>Divulgación “procesos de circulación artística y cultural”  Antioquia(900052)</v>
      </c>
      <c r="I11" s="17" t="str">
        <f>+gastos!K8</f>
        <v>Procesos de circulación artística</v>
      </c>
      <c r="J11" s="17" t="str">
        <f>+gastos!L8</f>
        <v>GASTOS</v>
      </c>
      <c r="K11" s="45" t="str">
        <f>+gastos!M8</f>
        <v>Procesos de circulación artística</v>
      </c>
      <c r="L11" s="17">
        <f>+gastos!N8</f>
        <v>8040</v>
      </c>
      <c r="M11" s="45">
        <f>+gastos!O8</f>
        <v>119</v>
      </c>
      <c r="N11" s="17">
        <f>+gastos!Q8</f>
        <v>0</v>
      </c>
      <c r="O11" s="17">
        <f>+gastos!W8</f>
        <v>90175504</v>
      </c>
      <c r="P11" s="17">
        <f t="shared" si="3"/>
        <v>119</v>
      </c>
      <c r="Q11" s="17">
        <f t="shared" si="4"/>
        <v>-90175504</v>
      </c>
      <c r="R11" s="17" t="e">
        <f t="shared" si="5"/>
        <v>#VALUE!</v>
      </c>
      <c r="S11" s="18" t="e">
        <f t="shared" si="6"/>
        <v>#VALUE!</v>
      </c>
      <c r="T11" s="47" t="e">
        <f t="shared" si="7"/>
        <v>#VALUE!</v>
      </c>
      <c r="U11" s="17">
        <f>+gastos!AD8</f>
        <v>0</v>
      </c>
    </row>
    <row r="12" spans="1:21" x14ac:dyDescent="0.25">
      <c r="A12" s="16" t="s">
        <v>52</v>
      </c>
      <c r="B12" s="16" t="s">
        <v>175</v>
      </c>
      <c r="C12" s="16">
        <v>8</v>
      </c>
      <c r="D12" s="16" t="s">
        <v>53</v>
      </c>
      <c r="E12" s="16" t="s">
        <v>168</v>
      </c>
      <c r="F12" s="17">
        <v>370100000</v>
      </c>
      <c r="G12" s="17" t="str">
        <f>+gastos!I9</f>
        <v>EstímProcProy&amp;ActivCultur</v>
      </c>
      <c r="H12" s="17" t="str">
        <f>+gastos!J9</f>
        <v>Desarrollo "Portafolio departamental de estímulos y concertación"  Antioquia(900054)</v>
      </c>
      <c r="I12" s="17" t="str">
        <f>+gastos!K9</f>
        <v>Convocatoria de bancos Jurados</v>
      </c>
      <c r="J12" s="17" t="str">
        <f>+gastos!L9</f>
        <v>GASTOS</v>
      </c>
      <c r="K12" s="45" t="str">
        <f>+gastos!M9</f>
        <v>Convocatoria de bancos Jurados</v>
      </c>
      <c r="L12" s="17">
        <f>+gastos!N9</f>
        <v>7899</v>
      </c>
      <c r="M12" s="45">
        <f>+gastos!O9</f>
        <v>7</v>
      </c>
      <c r="N12" s="17">
        <f>+gastos!Q9</f>
        <v>195000000</v>
      </c>
      <c r="O12" s="17">
        <f>+gastos!W9</f>
        <v>192680000</v>
      </c>
      <c r="P12" s="17">
        <f t="shared" si="3"/>
        <v>-194999993</v>
      </c>
      <c r="Q12" s="17">
        <f t="shared" si="4"/>
        <v>2320000</v>
      </c>
      <c r="R12" s="17" t="e">
        <f t="shared" si="5"/>
        <v>#VALUE!</v>
      </c>
      <c r="S12" s="18" t="e">
        <f t="shared" si="6"/>
        <v>#VALUE!</v>
      </c>
      <c r="T12" s="47" t="e">
        <f t="shared" si="7"/>
        <v>#VALUE!</v>
      </c>
      <c r="U12" s="17">
        <f>+gastos!AD9</f>
        <v>0</v>
      </c>
    </row>
    <row r="13" spans="1:21" x14ac:dyDescent="0.25">
      <c r="A13" s="16" t="s">
        <v>54</v>
      </c>
      <c r="B13" s="16" t="s">
        <v>176</v>
      </c>
      <c r="C13" s="16">
        <v>9</v>
      </c>
      <c r="D13" s="16" t="s">
        <v>55</v>
      </c>
      <c r="E13" s="16" t="s">
        <v>168</v>
      </c>
      <c r="F13" s="17">
        <v>62000000</v>
      </c>
      <c r="G13" s="17" t="str">
        <f>+gastos!I10</f>
        <v>EstímProcProy&amp;ActivCultur</v>
      </c>
      <c r="H13" s="17" t="str">
        <f>+gastos!J10</f>
        <v>Desarrollo "Portafolio departamental de estímulos y concertación"  Antioquia(900054)</v>
      </c>
      <c r="I13" s="17" t="str">
        <f>+gastos!K10</f>
        <v>Acciones comunicacionales</v>
      </c>
      <c r="J13" s="17" t="str">
        <f>+gastos!L10</f>
        <v>GASTOS</v>
      </c>
      <c r="K13" s="45" t="str">
        <f>+gastos!M10</f>
        <v>Acciones comunicacionales</v>
      </c>
      <c r="L13" s="17">
        <f>+gastos!N10</f>
        <v>7900</v>
      </c>
      <c r="M13" s="45">
        <f>+gastos!O10</f>
        <v>8</v>
      </c>
      <c r="N13" s="17">
        <f>+gastos!Q10</f>
        <v>5000000</v>
      </c>
      <c r="O13" s="17">
        <f>+gastos!W10</f>
        <v>105000000</v>
      </c>
      <c r="P13" s="17">
        <f t="shared" si="3"/>
        <v>-4999992</v>
      </c>
      <c r="Q13" s="17">
        <f t="shared" si="4"/>
        <v>-100000000</v>
      </c>
      <c r="R13" s="17" t="e">
        <f t="shared" si="5"/>
        <v>#VALUE!</v>
      </c>
      <c r="S13" s="18" t="e">
        <f t="shared" si="6"/>
        <v>#VALUE!</v>
      </c>
      <c r="T13" s="47" t="e">
        <f t="shared" si="7"/>
        <v>#VALUE!</v>
      </c>
      <c r="U13" s="17">
        <f>+gastos!AD10</f>
        <v>0</v>
      </c>
    </row>
    <row r="14" spans="1:21" x14ac:dyDescent="0.25">
      <c r="A14" s="16" t="s">
        <v>56</v>
      </c>
      <c r="B14" s="16" t="s">
        <v>177</v>
      </c>
      <c r="C14" s="16">
        <v>10</v>
      </c>
      <c r="D14" s="16" t="s">
        <v>57</v>
      </c>
      <c r="E14" s="16" t="s">
        <v>168</v>
      </c>
      <c r="F14" s="17">
        <v>92000000</v>
      </c>
      <c r="G14" s="17" t="str">
        <f>+gastos!I11</f>
        <v>EstímProcProy&amp;ActivCultur</v>
      </c>
      <c r="H14" s="17" t="str">
        <f>+gastos!J11</f>
        <v>Desarrollo "Portafolio departamental de estímulos y concertación"  Antioquia(900054)</v>
      </c>
      <c r="I14" s="17" t="str">
        <f>+gastos!K11</f>
        <v>Conceptualización, estructuración, definición y publicación de convocatorias públicas</v>
      </c>
      <c r="J14" s="17" t="str">
        <f>+gastos!L11</f>
        <v>GASTOS</v>
      </c>
      <c r="K14" s="45" t="str">
        <f>+gastos!M11</f>
        <v>Conceptualización, estructuración, definición y publicación de convocatorias públicas</v>
      </c>
      <c r="L14" s="17">
        <f>+gastos!N11</f>
        <v>7901</v>
      </c>
      <c r="M14" s="45">
        <f>+gastos!O11</f>
        <v>9</v>
      </c>
      <c r="N14" s="17">
        <f>+gastos!Q11</f>
        <v>330937618</v>
      </c>
      <c r="O14" s="17">
        <f>+gastos!W11</f>
        <v>250349798</v>
      </c>
      <c r="P14" s="17">
        <f t="shared" si="3"/>
        <v>-330937609</v>
      </c>
      <c r="Q14" s="17">
        <f t="shared" si="4"/>
        <v>80587820</v>
      </c>
      <c r="R14" s="17" t="e">
        <f t="shared" si="5"/>
        <v>#VALUE!</v>
      </c>
      <c r="S14" s="18" t="e">
        <f t="shared" si="6"/>
        <v>#VALUE!</v>
      </c>
      <c r="T14" s="47" t="e">
        <f t="shared" si="7"/>
        <v>#VALUE!</v>
      </c>
      <c r="U14" s="17">
        <f>+gastos!AD11</f>
        <v>0</v>
      </c>
    </row>
    <row r="15" spans="1:21" x14ac:dyDescent="0.25">
      <c r="A15" s="16" t="s">
        <v>58</v>
      </c>
      <c r="B15" s="16" t="s">
        <v>178</v>
      </c>
      <c r="C15" s="16">
        <v>11</v>
      </c>
      <c r="D15" s="16" t="s">
        <v>59</v>
      </c>
      <c r="E15" s="16" t="s">
        <v>168</v>
      </c>
      <c r="F15" s="17">
        <v>128000000</v>
      </c>
      <c r="G15" s="17" t="str">
        <f>+gastos!I12</f>
        <v>EstímProcProy&amp;ActivCultur</v>
      </c>
      <c r="H15" s="17" t="str">
        <f>+gastos!J12</f>
        <v>Desarrollo "Portafolio departamental de estímulos y concertación"  Antioquia(900054)</v>
      </c>
      <c r="I15" s="17" t="str">
        <f>+gastos!K12</f>
        <v>Convocatoria de Salas Concertadas</v>
      </c>
      <c r="J15" s="17" t="str">
        <f>+gastos!L12</f>
        <v>GASTOS</v>
      </c>
      <c r="K15" s="45" t="str">
        <f>+gastos!M12</f>
        <v>Convocatoria de Salas Concertadas</v>
      </c>
      <c r="L15" s="17">
        <f>+gastos!N12</f>
        <v>7981</v>
      </c>
      <c r="M15" s="45">
        <f>+gastos!O12</f>
        <v>80</v>
      </c>
      <c r="N15" s="17">
        <f>+gastos!Q12</f>
        <v>0</v>
      </c>
      <c r="O15" s="17">
        <f>+gastos!W12</f>
        <v>47284000</v>
      </c>
      <c r="P15" s="17">
        <f t="shared" si="3"/>
        <v>80</v>
      </c>
      <c r="Q15" s="17">
        <f t="shared" si="4"/>
        <v>-47284000</v>
      </c>
      <c r="R15" s="17" t="e">
        <f t="shared" si="5"/>
        <v>#VALUE!</v>
      </c>
      <c r="S15" s="18" t="e">
        <f t="shared" si="6"/>
        <v>#VALUE!</v>
      </c>
      <c r="T15" s="47" t="e">
        <f t="shared" si="7"/>
        <v>#VALUE!</v>
      </c>
      <c r="U15" s="17">
        <f>+gastos!AD12</f>
        <v>0</v>
      </c>
    </row>
    <row r="16" spans="1:21" x14ac:dyDescent="0.25">
      <c r="A16" s="16" t="s">
        <v>60</v>
      </c>
      <c r="B16" s="16" t="s">
        <v>179</v>
      </c>
      <c r="C16" s="16">
        <v>12</v>
      </c>
      <c r="D16" s="16" t="s">
        <v>61</v>
      </c>
      <c r="E16" s="16" t="s">
        <v>168</v>
      </c>
      <c r="F16" s="17">
        <v>197000000</v>
      </c>
      <c r="G16" s="17" t="str">
        <f>+gastos!I13</f>
        <v>PráctArtísticas&amp;Culturale</v>
      </c>
      <c r="H16" s="17" t="str">
        <f>+gastos!J13</f>
        <v>Divulgación “procesos de circulación artística y cultural”  Antioquia(900052)</v>
      </c>
      <c r="I16" s="17" t="str">
        <f>+gastos!K13</f>
        <v>Apoyo a Festivales</v>
      </c>
      <c r="J16" s="17" t="str">
        <f>+gastos!L13</f>
        <v>GASTOS</v>
      </c>
      <c r="K16" s="45" t="str">
        <f>+gastos!M13</f>
        <v>Apoyo a Festivales</v>
      </c>
      <c r="L16" s="17">
        <f>+gastos!N13</f>
        <v>7902</v>
      </c>
      <c r="M16" s="45">
        <f>+gastos!O13</f>
        <v>10</v>
      </c>
      <c r="N16" s="17">
        <f>+gastos!Q13</f>
        <v>65997280</v>
      </c>
      <c r="O16" s="17">
        <f>+gastos!W13</f>
        <v>65997280</v>
      </c>
      <c r="P16" s="17">
        <f t="shared" si="3"/>
        <v>-65997270</v>
      </c>
      <c r="Q16" s="17">
        <f t="shared" si="4"/>
        <v>0</v>
      </c>
      <c r="R16" s="17" t="e">
        <f t="shared" si="5"/>
        <v>#VALUE!</v>
      </c>
      <c r="S16" s="18" t="e">
        <f t="shared" si="6"/>
        <v>#VALUE!</v>
      </c>
      <c r="T16" s="47" t="e">
        <f t="shared" si="7"/>
        <v>#VALUE!</v>
      </c>
      <c r="U16" s="17">
        <f>+gastos!AD13</f>
        <v>0</v>
      </c>
    </row>
    <row r="17" spans="1:21" x14ac:dyDescent="0.25">
      <c r="A17" s="20" t="s">
        <v>62</v>
      </c>
      <c r="B17" s="20" t="s">
        <v>180</v>
      </c>
      <c r="C17" s="20">
        <v>13</v>
      </c>
      <c r="D17" s="20" t="s">
        <v>63</v>
      </c>
      <c r="E17" s="20" t="s">
        <v>168</v>
      </c>
      <c r="F17" s="17">
        <v>70000000</v>
      </c>
      <c r="G17" s="17" t="str">
        <f>+gastos!I14</f>
        <v>PráctArtísticas&amp;Culturale</v>
      </c>
      <c r="H17" s="17" t="str">
        <f>+gastos!J14</f>
        <v>Divulgación “procesos de circulación artística y cultural”  Antioquia(900052)</v>
      </c>
      <c r="I17" s="17" t="str">
        <f>+gastos!K14</f>
        <v>Día del Tango - Circulación (Ord 53)</v>
      </c>
      <c r="J17" s="17" t="str">
        <f>+gastos!L14</f>
        <v>GASTOS</v>
      </c>
      <c r="K17" s="45" t="str">
        <f>+gastos!M14</f>
        <v>Día del Tango - Circulación (Ord 53)</v>
      </c>
      <c r="L17" s="45">
        <f>+gastos!N14</f>
        <v>7903</v>
      </c>
      <c r="M17" s="45">
        <f>+gastos!O14</f>
        <v>11</v>
      </c>
      <c r="N17" s="17">
        <f>+gastos!Q14</f>
        <v>10000000</v>
      </c>
      <c r="O17" s="17">
        <f>+gastos!W14</f>
        <v>10000000</v>
      </c>
      <c r="P17" s="17">
        <f t="shared" si="3"/>
        <v>-9999989</v>
      </c>
      <c r="Q17" s="17">
        <f t="shared" si="4"/>
        <v>0</v>
      </c>
      <c r="R17" s="17" t="e">
        <f t="shared" si="5"/>
        <v>#VALUE!</v>
      </c>
      <c r="S17" s="21" t="e">
        <f t="shared" si="6"/>
        <v>#VALUE!</v>
      </c>
      <c r="T17" s="48" t="e">
        <f t="shared" si="7"/>
        <v>#VALUE!</v>
      </c>
      <c r="U17" s="17">
        <f>+gastos!AD14</f>
        <v>0</v>
      </c>
    </row>
    <row r="18" spans="1:21" x14ac:dyDescent="0.25">
      <c r="A18" s="16" t="s">
        <v>64</v>
      </c>
      <c r="B18" s="16" t="s">
        <v>181</v>
      </c>
      <c r="C18" s="16">
        <v>14</v>
      </c>
      <c r="D18" s="16" t="s">
        <v>65</v>
      </c>
      <c r="E18" s="16" t="s">
        <v>168</v>
      </c>
      <c r="F18" s="17">
        <v>40000000</v>
      </c>
      <c r="G18" s="17" t="str">
        <f>+gastos!I15</f>
        <v>PráctArtísticas&amp;Culturale</v>
      </c>
      <c r="H18" s="17" t="str">
        <f>+gastos!J15</f>
        <v>Divulgación “procesos de circulación artística y cultural”  Antioquia(900052)</v>
      </c>
      <c r="I18" s="17" t="str">
        <f>+gastos!K15</f>
        <v>Procesos de circulación artística</v>
      </c>
      <c r="J18" s="17" t="str">
        <f>+gastos!L15</f>
        <v>GASTOS</v>
      </c>
      <c r="K18" s="45" t="str">
        <f>+gastos!M15</f>
        <v>Procesos de circulación artística</v>
      </c>
      <c r="L18" s="17">
        <f>+gastos!N15</f>
        <v>7904</v>
      </c>
      <c r="M18" s="45">
        <f>+gastos!O15</f>
        <v>12</v>
      </c>
      <c r="N18" s="17">
        <f>+gastos!Q15</f>
        <v>60000000</v>
      </c>
      <c r="O18" s="17">
        <f>+gastos!W15</f>
        <v>19998000</v>
      </c>
      <c r="P18" s="17">
        <f t="shared" si="3"/>
        <v>-59999988</v>
      </c>
      <c r="Q18" s="17">
        <f t="shared" si="4"/>
        <v>40002000</v>
      </c>
      <c r="R18" s="17" t="e">
        <f t="shared" si="5"/>
        <v>#VALUE!</v>
      </c>
      <c r="S18" s="18" t="e">
        <f t="shared" si="6"/>
        <v>#VALUE!</v>
      </c>
      <c r="T18" s="47" t="e">
        <f t="shared" si="7"/>
        <v>#VALUE!</v>
      </c>
      <c r="U18" s="17">
        <f>+gastos!AD15</f>
        <v>0</v>
      </c>
    </row>
    <row r="19" spans="1:21" x14ac:dyDescent="0.25">
      <c r="A19" s="16" t="s">
        <v>66</v>
      </c>
      <c r="B19" s="16" t="s">
        <v>182</v>
      </c>
      <c r="C19" s="16">
        <v>15</v>
      </c>
      <c r="D19" s="16" t="s">
        <v>67</v>
      </c>
      <c r="E19" s="16" t="s">
        <v>168</v>
      </c>
      <c r="F19" s="17">
        <v>242000000</v>
      </c>
      <c r="G19" s="17" t="str">
        <f>+gastos!I16</f>
        <v>PráctArtísticas&amp;Culturale</v>
      </c>
      <c r="H19" s="17" t="str">
        <f>+gastos!J16</f>
        <v>Divulgación “procesos de circulación artística y cultural”  Antioquia(900052)</v>
      </c>
      <c r="I19" s="17" t="str">
        <f>+gastos!K16</f>
        <v>Apoyo a la realización y participación en eventos culturales</v>
      </c>
      <c r="J19" s="17" t="str">
        <f>+gastos!L16</f>
        <v>GASTOS</v>
      </c>
      <c r="K19" s="45" t="str">
        <f>+gastos!M16</f>
        <v>Apoyo a la realización y participación en eventos culturales</v>
      </c>
      <c r="L19" s="17">
        <f>+gastos!N16</f>
        <v>7905</v>
      </c>
      <c r="M19" s="45">
        <f>+gastos!O16</f>
        <v>13</v>
      </c>
      <c r="N19" s="17">
        <f>+gastos!Q16</f>
        <v>209045154</v>
      </c>
      <c r="O19" s="17">
        <f>+gastos!W16</f>
        <v>175243509</v>
      </c>
      <c r="P19" s="17">
        <f t="shared" si="3"/>
        <v>-209045141</v>
      </c>
      <c r="Q19" s="17">
        <f t="shared" si="4"/>
        <v>33801645</v>
      </c>
      <c r="R19" s="17" t="e">
        <f t="shared" si="5"/>
        <v>#VALUE!</v>
      </c>
      <c r="S19" s="18" t="e">
        <f t="shared" si="6"/>
        <v>#VALUE!</v>
      </c>
      <c r="T19" s="47" t="e">
        <f t="shared" si="7"/>
        <v>#VALUE!</v>
      </c>
      <c r="U19" s="17">
        <f>+gastos!AD16</f>
        <v>0</v>
      </c>
    </row>
    <row r="20" spans="1:21" x14ac:dyDescent="0.25">
      <c r="A20" s="16" t="s">
        <v>68</v>
      </c>
      <c r="B20" s="16" t="s">
        <v>183</v>
      </c>
      <c r="C20" s="16">
        <v>16</v>
      </c>
      <c r="D20" s="16" t="s">
        <v>69</v>
      </c>
      <c r="E20" s="16" t="s">
        <v>168</v>
      </c>
      <c r="F20" s="17">
        <v>164000000</v>
      </c>
      <c r="G20" s="17" t="str">
        <f>+gastos!I17</f>
        <v>PráctArtísticas&amp;Culturale</v>
      </c>
      <c r="H20" s="17" t="str">
        <f>+gastos!J17</f>
        <v>Divulgación “procesos de circulación artística y cultural”  Antioquia(900052)</v>
      </c>
      <c r="I20" s="17" t="str">
        <f>+gastos!K17</f>
        <v>Circulación audiovisual y cinematografía -Circulación (Conv_ Ord 29)/10% de Ord 12</v>
      </c>
      <c r="J20" s="17" t="str">
        <f>+gastos!L17</f>
        <v>GASTOS</v>
      </c>
      <c r="K20" s="45" t="str">
        <f>+gastos!M17</f>
        <v>Circulación audiovisual y cinematografía -Circulación (Conv_ Ord 29)/10% de Ord 12</v>
      </c>
      <c r="L20" s="17">
        <f>+gastos!N17</f>
        <v>7906</v>
      </c>
      <c r="M20" s="45">
        <f>+gastos!O17</f>
        <v>14</v>
      </c>
      <c r="N20" s="17">
        <f>+gastos!Q17</f>
        <v>273237716</v>
      </c>
      <c r="O20" s="17">
        <f>+gastos!W17</f>
        <v>122811200</v>
      </c>
      <c r="P20" s="17">
        <f t="shared" si="3"/>
        <v>-273237702</v>
      </c>
      <c r="Q20" s="17">
        <f t="shared" si="4"/>
        <v>150426516</v>
      </c>
      <c r="R20" s="17" t="e">
        <f t="shared" si="5"/>
        <v>#VALUE!</v>
      </c>
      <c r="S20" s="18" t="e">
        <f t="shared" si="6"/>
        <v>#VALUE!</v>
      </c>
      <c r="T20" s="47" t="e">
        <f t="shared" si="7"/>
        <v>#VALUE!</v>
      </c>
      <c r="U20" s="17">
        <f>+gastos!AD17</f>
        <v>0</v>
      </c>
    </row>
    <row r="21" spans="1:21" x14ac:dyDescent="0.25">
      <c r="A21" s="16" t="s">
        <v>70</v>
      </c>
      <c r="B21" s="16" t="s">
        <v>184</v>
      </c>
      <c r="C21" s="16">
        <v>17</v>
      </c>
      <c r="D21" s="16" t="s">
        <v>71</v>
      </c>
      <c r="E21" s="16" t="s">
        <v>168</v>
      </c>
      <c r="F21" s="17">
        <v>280000000</v>
      </c>
      <c r="G21" s="17" t="str">
        <f>+gastos!I18</f>
        <v>EstímProcProy&amp;ActivCultur</v>
      </c>
      <c r="H21" s="17" t="str">
        <f>+gastos!J18</f>
        <v>Desarrollo "Portafolio departamental de estímulos y concertación"  Antioquia(900054)</v>
      </c>
      <c r="I21" s="17" t="str">
        <f>+gastos!K18</f>
        <v>Convocatoria de bancos Jurados</v>
      </c>
      <c r="J21" s="17" t="str">
        <f>+gastos!L18</f>
        <v>GASTOS</v>
      </c>
      <c r="K21" s="45" t="str">
        <f>+gastos!M18</f>
        <v>Convocatoria de bancos Jurados</v>
      </c>
      <c r="L21" s="17">
        <f>+gastos!N18</f>
        <v>8035</v>
      </c>
      <c r="M21" s="45">
        <f>+gastos!O18</f>
        <v>114</v>
      </c>
      <c r="N21" s="17">
        <f>+gastos!Q18</f>
        <v>0</v>
      </c>
      <c r="O21" s="17">
        <f>+gastos!W18</f>
        <v>111115000</v>
      </c>
      <c r="P21" s="17">
        <f t="shared" si="3"/>
        <v>114</v>
      </c>
      <c r="Q21" s="17">
        <f t="shared" si="4"/>
        <v>-111115000</v>
      </c>
      <c r="R21" s="17" t="e">
        <f t="shared" si="5"/>
        <v>#VALUE!</v>
      </c>
      <c r="S21" s="18" t="e">
        <f t="shared" si="6"/>
        <v>#VALUE!</v>
      </c>
      <c r="T21" s="47" t="e">
        <f t="shared" si="7"/>
        <v>#VALUE!</v>
      </c>
      <c r="U21" s="17">
        <f>+gastos!AD18</f>
        <v>0</v>
      </c>
    </row>
    <row r="22" spans="1:21" x14ac:dyDescent="0.25">
      <c r="A22" s="22" t="s">
        <v>72</v>
      </c>
      <c r="B22" s="22"/>
      <c r="C22" s="22"/>
      <c r="D22" s="22"/>
      <c r="E22" s="22"/>
      <c r="F22" s="14">
        <v>912597000</v>
      </c>
      <c r="G22" s="14">
        <f t="shared" ref="G22:R22" si="8">SUM(G23:G37)</f>
        <v>0</v>
      </c>
      <c r="H22" s="14">
        <f t="shared" si="8"/>
        <v>0</v>
      </c>
      <c r="I22" s="14">
        <f t="shared" si="8"/>
        <v>0</v>
      </c>
      <c r="J22" s="14">
        <f t="shared" si="8"/>
        <v>0</v>
      </c>
      <c r="K22" s="14">
        <f>SUM(K23:K37)</f>
        <v>0</v>
      </c>
      <c r="L22" s="14">
        <f t="shared" si="8"/>
        <v>119786</v>
      </c>
      <c r="M22" s="14">
        <f t="shared" si="8"/>
        <v>1178</v>
      </c>
      <c r="N22" s="14">
        <f t="shared" si="8"/>
        <v>431103692</v>
      </c>
      <c r="O22" s="14">
        <f t="shared" si="8"/>
        <v>1763792873</v>
      </c>
      <c r="P22" s="14">
        <f t="shared" si="8"/>
        <v>-431102514</v>
      </c>
      <c r="Q22" s="14">
        <f>SUM(Q23:Q37)</f>
        <v>-1332689181</v>
      </c>
      <c r="R22" s="14" t="e">
        <f t="shared" si="8"/>
        <v>#VALUE!</v>
      </c>
      <c r="S22" s="15" t="e">
        <f>+M22/K22</f>
        <v>#DIV/0!</v>
      </c>
      <c r="T22" s="15" t="e">
        <f>+N22/K22</f>
        <v>#DIV/0!</v>
      </c>
      <c r="U22" s="14">
        <f>SUM(U23:U37)</f>
        <v>0</v>
      </c>
    </row>
    <row r="23" spans="1:21" x14ac:dyDescent="0.25">
      <c r="A23" s="16" t="s">
        <v>73</v>
      </c>
      <c r="B23" s="16" t="s">
        <v>185</v>
      </c>
      <c r="C23" s="16">
        <v>18</v>
      </c>
      <c r="D23" s="16" t="s">
        <v>74</v>
      </c>
      <c r="E23" s="16" t="s">
        <v>168</v>
      </c>
      <c r="F23" s="17">
        <v>52000000</v>
      </c>
      <c r="G23" s="17" t="str">
        <f>+gastos!I19</f>
        <v>EstímProcProy&amp;ActivCultur</v>
      </c>
      <c r="H23" s="17" t="str">
        <f>+gastos!J19</f>
        <v>Desarrollo "Portafolio departamental de estímulos y concertación"  Antioquia(900054)</v>
      </c>
      <c r="I23" s="17" t="str">
        <f>+gastos!K19</f>
        <v>Conceptualización, estructuración, definición y publicación de convocatorias públicas</v>
      </c>
      <c r="J23" s="17" t="str">
        <f>+gastos!L19</f>
        <v>GASTOS</v>
      </c>
      <c r="K23" s="45" t="str">
        <f>+gastos!M19</f>
        <v>Conceptualización, estructuración, definición y publicación de convocatorias públicas</v>
      </c>
      <c r="L23" s="17">
        <f>+gastos!N19</f>
        <v>8016</v>
      </c>
      <c r="M23" s="45">
        <f>+gastos!O19</f>
        <v>101</v>
      </c>
      <c r="N23" s="17">
        <f>+gastos!Q19</f>
        <v>0</v>
      </c>
      <c r="O23" s="17">
        <f>+gastos!W19</f>
        <v>506171117</v>
      </c>
      <c r="P23" s="17">
        <f t="shared" ref="P23:P37" si="9">M23-N23</f>
        <v>101</v>
      </c>
      <c r="Q23" s="17">
        <f t="shared" ref="Q23:Q37" si="10">N23-O23</f>
        <v>-506171117</v>
      </c>
      <c r="R23" s="17" t="e">
        <f t="shared" ref="R23:R37" si="11">K23-M23</f>
        <v>#VALUE!</v>
      </c>
      <c r="S23" s="18" t="e">
        <f t="shared" si="6"/>
        <v>#VALUE!</v>
      </c>
      <c r="T23" s="47" t="e">
        <f t="shared" si="7"/>
        <v>#VALUE!</v>
      </c>
      <c r="U23" s="17">
        <f>+gastos!AD19</f>
        <v>0</v>
      </c>
    </row>
    <row r="24" spans="1:21" x14ac:dyDescent="0.25">
      <c r="A24" s="16" t="s">
        <v>75</v>
      </c>
      <c r="B24" s="16" t="s">
        <v>186</v>
      </c>
      <c r="C24" s="16">
        <v>19</v>
      </c>
      <c r="D24" s="16" t="s">
        <v>76</v>
      </c>
      <c r="E24" s="16" t="s">
        <v>168</v>
      </c>
      <c r="F24" s="17">
        <v>40000000</v>
      </c>
      <c r="G24" s="17" t="str">
        <f>+gastos!I20</f>
        <v>EstímProcProy&amp;ActivCultur</v>
      </c>
      <c r="H24" s="17" t="str">
        <f>+gastos!J20</f>
        <v>Desarrollo "Portafolio departamental de estímulos y concertación"  Antioquia(900054)</v>
      </c>
      <c r="I24" s="17" t="str">
        <f>+gastos!K20</f>
        <v>Estimulos audiovisuales y cinematografía - creación (conv_ord 29)/ 10% de ord 12</v>
      </c>
      <c r="J24" s="17" t="str">
        <f>+gastos!L20</f>
        <v>GASTOS</v>
      </c>
      <c r="K24" s="45" t="str">
        <f>+gastos!M20</f>
        <v>Estimulos audiovisuales y cinematografía - creación (conv_ord 29)/ 10% de ord 12</v>
      </c>
      <c r="L24" s="17">
        <f>+gastos!N20</f>
        <v>7907</v>
      </c>
      <c r="M24" s="45">
        <f>+gastos!O20</f>
        <v>15</v>
      </c>
      <c r="N24" s="17">
        <f>+gastos!Q20</f>
        <v>20809429</v>
      </c>
      <c r="O24" s="17">
        <f>+gastos!W20</f>
        <v>20809429</v>
      </c>
      <c r="P24" s="17">
        <f t="shared" si="9"/>
        <v>-20809414</v>
      </c>
      <c r="Q24" s="17">
        <f t="shared" si="10"/>
        <v>0</v>
      </c>
      <c r="R24" s="17" t="e">
        <f t="shared" si="11"/>
        <v>#VALUE!</v>
      </c>
      <c r="S24" s="18" t="e">
        <f t="shared" si="6"/>
        <v>#VALUE!</v>
      </c>
      <c r="T24" s="47" t="e">
        <f t="shared" si="7"/>
        <v>#VALUE!</v>
      </c>
      <c r="U24" s="17">
        <f>+gastos!AD20</f>
        <v>0</v>
      </c>
    </row>
    <row r="25" spans="1:21" x14ac:dyDescent="0.25">
      <c r="A25" s="16" t="s">
        <v>77</v>
      </c>
      <c r="B25" s="16" t="s">
        <v>187</v>
      </c>
      <c r="C25" s="16">
        <v>20</v>
      </c>
      <c r="D25" s="16" t="s">
        <v>78</v>
      </c>
      <c r="E25" s="16" t="s">
        <v>168</v>
      </c>
      <c r="F25" s="17">
        <v>9000000</v>
      </c>
      <c r="G25" s="17" t="str">
        <f>+gastos!I21</f>
        <v>EstímProcProy&amp;ActivCultur</v>
      </c>
      <c r="H25" s="17" t="str">
        <f>+gastos!J21</f>
        <v>Desarrollo "Portafolio departamental de estímulos y concertación"  Antioquia(900054)</v>
      </c>
      <c r="I25" s="17" t="str">
        <f>+gastos!K21</f>
        <v>Estimulos día del Tango - creación (Ord 53)</v>
      </c>
      <c r="J25" s="17" t="str">
        <f>+gastos!L21</f>
        <v>GASTOS</v>
      </c>
      <c r="K25" s="45" t="str">
        <f>+gastos!M21</f>
        <v>Estimulos día del Tango - creación (Ord 53)</v>
      </c>
      <c r="L25" s="17">
        <f>+gastos!N21</f>
        <v>7908</v>
      </c>
      <c r="M25" s="45">
        <f>+gastos!O21</f>
        <v>16</v>
      </c>
      <c r="N25" s="17">
        <f>+gastos!Q21</f>
        <v>10294263</v>
      </c>
      <c r="O25" s="17">
        <f>+gastos!W21</f>
        <v>10000000</v>
      </c>
      <c r="P25" s="17">
        <f t="shared" si="9"/>
        <v>-10294247</v>
      </c>
      <c r="Q25" s="17">
        <f t="shared" si="10"/>
        <v>294263</v>
      </c>
      <c r="R25" s="17" t="e">
        <f t="shared" si="11"/>
        <v>#VALUE!</v>
      </c>
      <c r="S25" s="18" t="e">
        <f t="shared" si="6"/>
        <v>#VALUE!</v>
      </c>
      <c r="T25" s="47" t="e">
        <f t="shared" si="7"/>
        <v>#VALUE!</v>
      </c>
      <c r="U25" s="17">
        <f>+gastos!AD21</f>
        <v>0</v>
      </c>
    </row>
    <row r="26" spans="1:21" x14ac:dyDescent="0.25">
      <c r="A26" s="16" t="s">
        <v>79</v>
      </c>
      <c r="B26" s="16" t="s">
        <v>188</v>
      </c>
      <c r="C26" s="16">
        <v>21</v>
      </c>
      <c r="D26" s="16" t="s">
        <v>80</v>
      </c>
      <c r="E26" s="16" t="s">
        <v>168</v>
      </c>
      <c r="F26" s="17">
        <v>2000000</v>
      </c>
      <c r="G26" s="17" t="str">
        <f>+gastos!I22</f>
        <v>EstímProcProy&amp;ActivCultur</v>
      </c>
      <c r="H26" s="17" t="str">
        <f>+gastos!J22</f>
        <v>Desarrollo "Portafolio departamental de estímulos y concertación"  Antioquia(900054)</v>
      </c>
      <c r="I26" s="17" t="str">
        <f>+gastos!K22</f>
        <v>Convocatoria de Salas Concertadas</v>
      </c>
      <c r="J26" s="17" t="str">
        <f>+gastos!L22</f>
        <v>GASTOS</v>
      </c>
      <c r="K26" s="45" t="str">
        <f>+gastos!M22</f>
        <v>Convocatoria de Salas Concertadas</v>
      </c>
      <c r="L26" s="17">
        <f>+gastos!N22</f>
        <v>7909</v>
      </c>
      <c r="M26" s="45">
        <f>+gastos!O22</f>
        <v>17</v>
      </c>
      <c r="N26" s="17">
        <f>+gastos!Q22</f>
        <v>400000000</v>
      </c>
      <c r="O26" s="17">
        <f>+gastos!W22</f>
        <v>400000000</v>
      </c>
      <c r="P26" s="17">
        <f t="shared" si="9"/>
        <v>-399999983</v>
      </c>
      <c r="Q26" s="17">
        <f t="shared" si="10"/>
        <v>0</v>
      </c>
      <c r="R26" s="17" t="e">
        <f t="shared" si="11"/>
        <v>#VALUE!</v>
      </c>
      <c r="S26" s="18" t="e">
        <f t="shared" si="6"/>
        <v>#VALUE!</v>
      </c>
      <c r="T26" s="47" t="e">
        <f t="shared" si="7"/>
        <v>#VALUE!</v>
      </c>
      <c r="U26" s="17">
        <f>+gastos!AD22</f>
        <v>0</v>
      </c>
    </row>
    <row r="27" spans="1:21" x14ac:dyDescent="0.25">
      <c r="A27" s="16" t="s">
        <v>81</v>
      </c>
      <c r="B27" s="16" t="s">
        <v>189</v>
      </c>
      <c r="C27" s="16">
        <v>22</v>
      </c>
      <c r="D27" s="16" t="s">
        <v>82</v>
      </c>
      <c r="E27" s="16" t="s">
        <v>168</v>
      </c>
      <c r="F27" s="17">
        <v>108367000</v>
      </c>
      <c r="G27" s="17" t="str">
        <f>+gastos!I23</f>
        <v>EstímProcProy&amp;ActivCultur</v>
      </c>
      <c r="H27" s="17" t="str">
        <f>+gastos!J23</f>
        <v>Desarrollo "Portafolio departamental de estímulos y concertación"  Antioquia(900054)</v>
      </c>
      <c r="I27" s="17" t="str">
        <f>+gastos!K23</f>
        <v>Conceptualización, estructuración, definición y publicación de convocatorias públicas</v>
      </c>
      <c r="J27" s="17" t="str">
        <f>+gastos!L23</f>
        <v>GASTOS</v>
      </c>
      <c r="K27" s="45" t="str">
        <f>+gastos!M23</f>
        <v>Conceptualización, estructuración, definición y publicación de convocatorias públicas</v>
      </c>
      <c r="L27" s="17">
        <f>+gastos!N23</f>
        <v>8027</v>
      </c>
      <c r="M27" s="45">
        <f>+gastos!O23</f>
        <v>106</v>
      </c>
      <c r="N27" s="17">
        <f>+gastos!Q23</f>
        <v>0</v>
      </c>
      <c r="O27" s="17">
        <f>+gastos!W23</f>
        <v>24750000</v>
      </c>
      <c r="P27" s="17">
        <f t="shared" si="9"/>
        <v>106</v>
      </c>
      <c r="Q27" s="17">
        <f t="shared" si="10"/>
        <v>-24750000</v>
      </c>
      <c r="R27" s="17" t="e">
        <f t="shared" si="11"/>
        <v>#VALUE!</v>
      </c>
      <c r="S27" s="18" t="e">
        <f t="shared" si="6"/>
        <v>#VALUE!</v>
      </c>
      <c r="T27" s="47" t="e">
        <f t="shared" si="7"/>
        <v>#VALUE!</v>
      </c>
      <c r="U27" s="17">
        <f>+gastos!AD23</f>
        <v>0</v>
      </c>
    </row>
    <row r="28" spans="1:21" x14ac:dyDescent="0.25">
      <c r="A28" s="16" t="s">
        <v>83</v>
      </c>
      <c r="B28" s="16" t="s">
        <v>190</v>
      </c>
      <c r="C28" s="16">
        <v>23</v>
      </c>
      <c r="D28" s="16" t="s">
        <v>84</v>
      </c>
      <c r="E28" s="16" t="s">
        <v>168</v>
      </c>
      <c r="F28" s="17">
        <v>160000000</v>
      </c>
      <c r="G28" s="17" t="str">
        <f>+gastos!I24</f>
        <v>EstímProcProy&amp;ActivCultur</v>
      </c>
      <c r="H28" s="17" t="str">
        <f>+gastos!J24</f>
        <v>Desarrollo "Portafolio departamental de estímulos y concertación"  Antioquia(900054)</v>
      </c>
      <c r="I28" s="17" t="str">
        <f>+gastos!K24</f>
        <v>Conceptualización, estructuración, definición y publicación de convocatorias públicas</v>
      </c>
      <c r="J28" s="17" t="str">
        <f>+gastos!L24</f>
        <v>GASTOS</v>
      </c>
      <c r="K28" s="45" t="str">
        <f>+gastos!M24</f>
        <v>Conceptualización, estructuración, definición y publicación de convocatorias públicas</v>
      </c>
      <c r="L28" s="17">
        <f>+gastos!N24</f>
        <v>8028</v>
      </c>
      <c r="M28" s="45">
        <f>+gastos!O24</f>
        <v>107</v>
      </c>
      <c r="N28" s="17">
        <f>+gastos!Q24</f>
        <v>0</v>
      </c>
      <c r="O28" s="17">
        <f>+gastos!W24</f>
        <v>45540000</v>
      </c>
      <c r="P28" s="17">
        <f t="shared" si="9"/>
        <v>107</v>
      </c>
      <c r="Q28" s="17">
        <f t="shared" si="10"/>
        <v>-45540000</v>
      </c>
      <c r="R28" s="17" t="e">
        <f t="shared" si="11"/>
        <v>#VALUE!</v>
      </c>
      <c r="S28" s="18" t="e">
        <f t="shared" si="6"/>
        <v>#VALUE!</v>
      </c>
      <c r="T28" s="47" t="e">
        <f t="shared" si="7"/>
        <v>#VALUE!</v>
      </c>
      <c r="U28" s="17">
        <f>+gastos!AD24</f>
        <v>0</v>
      </c>
    </row>
    <row r="29" spans="1:21" x14ac:dyDescent="0.25">
      <c r="A29" s="16" t="s">
        <v>85</v>
      </c>
      <c r="B29" s="16" t="s">
        <v>191</v>
      </c>
      <c r="C29" s="16">
        <v>24</v>
      </c>
      <c r="D29" s="16" t="s">
        <v>86</v>
      </c>
      <c r="E29" s="16" t="s">
        <v>168</v>
      </c>
      <c r="F29" s="17">
        <v>120000000</v>
      </c>
      <c r="G29" s="17" t="str">
        <f>+gastos!I25</f>
        <v>PráctArtísticas&amp;Culturale</v>
      </c>
      <c r="H29" s="17" t="str">
        <f>+gastos!J25</f>
        <v>Divulgación “procesos de circulación artística y cultural”  Antioquia(900052)</v>
      </c>
      <c r="I29" s="17" t="str">
        <f>+gastos!K25</f>
        <v>Programación propia</v>
      </c>
      <c r="J29" s="17" t="str">
        <f>+gastos!L25</f>
        <v>GASTOS</v>
      </c>
      <c r="K29" s="45" t="str">
        <f>+gastos!M25</f>
        <v>Programación propia</v>
      </c>
      <c r="L29" s="17">
        <f>+gastos!N25</f>
        <v>8017</v>
      </c>
      <c r="M29" s="45">
        <f>+gastos!O25</f>
        <v>102</v>
      </c>
      <c r="N29" s="17">
        <f>+gastos!Q25</f>
        <v>0</v>
      </c>
      <c r="O29" s="17">
        <f>+gastos!W25</f>
        <v>38711897</v>
      </c>
      <c r="P29" s="17">
        <f t="shared" si="9"/>
        <v>102</v>
      </c>
      <c r="Q29" s="17">
        <f t="shared" si="10"/>
        <v>-38711897</v>
      </c>
      <c r="R29" s="17" t="e">
        <f t="shared" si="11"/>
        <v>#VALUE!</v>
      </c>
      <c r="S29" s="18" t="e">
        <f t="shared" si="6"/>
        <v>#VALUE!</v>
      </c>
      <c r="T29" s="47" t="e">
        <f t="shared" si="7"/>
        <v>#VALUE!</v>
      </c>
      <c r="U29" s="17">
        <f>+gastos!AD25</f>
        <v>0</v>
      </c>
    </row>
    <row r="30" spans="1:21" x14ac:dyDescent="0.25">
      <c r="A30" s="16" t="s">
        <v>87</v>
      </c>
      <c r="B30" s="16" t="s">
        <v>192</v>
      </c>
      <c r="C30" s="16">
        <v>25</v>
      </c>
      <c r="D30" s="16" t="s">
        <v>88</v>
      </c>
      <c r="E30" s="16" t="s">
        <v>168</v>
      </c>
      <c r="F30" s="17">
        <v>90000000</v>
      </c>
      <c r="G30" s="17" t="str">
        <f>+gastos!I26</f>
        <v>PráctArtísticas&amp;Culturale</v>
      </c>
      <c r="H30" s="17" t="str">
        <f>+gastos!J26</f>
        <v>Divulgación “procesos de circulación artística y cultural”  Antioquia(900052)</v>
      </c>
      <c r="I30" s="17" t="str">
        <f>+gastos!K26</f>
        <v>Procesos y/o actividades de fomento a la lectura</v>
      </c>
      <c r="J30" s="17" t="str">
        <f>+gastos!L26</f>
        <v>GASTOS</v>
      </c>
      <c r="K30" s="45" t="str">
        <f>+gastos!M26</f>
        <v>Procesos y/o actividades de fomento a la lectura</v>
      </c>
      <c r="L30" s="17">
        <f>+gastos!N26</f>
        <v>7987</v>
      </c>
      <c r="M30" s="45">
        <f>+gastos!O26</f>
        <v>82</v>
      </c>
      <c r="N30" s="17">
        <f>+gastos!Q26</f>
        <v>0</v>
      </c>
      <c r="O30" s="17">
        <f>+gastos!W26</f>
        <v>109592847</v>
      </c>
      <c r="P30" s="17">
        <f t="shared" si="9"/>
        <v>82</v>
      </c>
      <c r="Q30" s="17">
        <f t="shared" si="10"/>
        <v>-109592847</v>
      </c>
      <c r="R30" s="17" t="e">
        <f t="shared" si="11"/>
        <v>#VALUE!</v>
      </c>
      <c r="S30" s="18" t="e">
        <f t="shared" si="6"/>
        <v>#VALUE!</v>
      </c>
      <c r="T30" s="47" t="e">
        <f t="shared" si="7"/>
        <v>#VALUE!</v>
      </c>
      <c r="U30" s="17">
        <f>+gastos!AD26</f>
        <v>0</v>
      </c>
    </row>
    <row r="31" spans="1:21" x14ac:dyDescent="0.25">
      <c r="A31" s="16" t="s">
        <v>89</v>
      </c>
      <c r="B31" s="16" t="s">
        <v>193</v>
      </c>
      <c r="C31" s="16">
        <v>26</v>
      </c>
      <c r="D31" s="16" t="s">
        <v>90</v>
      </c>
      <c r="E31" s="16" t="s">
        <v>168</v>
      </c>
      <c r="F31" s="17">
        <v>33600000</v>
      </c>
      <c r="G31" s="17" t="str">
        <f>+gastos!I27</f>
        <v>PráctArtísticas&amp;Culturale</v>
      </c>
      <c r="H31" s="17" t="str">
        <f>+gastos!J27</f>
        <v>Divulgación “procesos de circulación artística y cultural”  Antioquia(900052)</v>
      </c>
      <c r="I31" s="17" t="str">
        <f>+gastos!K27</f>
        <v>Seguimiento a  iniciativas emprendedoras</v>
      </c>
      <c r="J31" s="17" t="str">
        <f>+gastos!L27</f>
        <v>GASTOS</v>
      </c>
      <c r="K31" s="45" t="str">
        <f>+gastos!M27</f>
        <v>Seguimiento a  iniciativas emprendedoras</v>
      </c>
      <c r="L31" s="17">
        <f>+gastos!N27</f>
        <v>8018</v>
      </c>
      <c r="M31" s="45">
        <f>+gastos!O27</f>
        <v>103</v>
      </c>
      <c r="N31" s="17">
        <f>+gastos!Q27</f>
        <v>0</v>
      </c>
      <c r="O31" s="17">
        <f>+gastos!W27</f>
        <v>30000000</v>
      </c>
      <c r="P31" s="17">
        <f t="shared" si="9"/>
        <v>103</v>
      </c>
      <c r="Q31" s="17">
        <f t="shared" si="10"/>
        <v>-30000000</v>
      </c>
      <c r="R31" s="17" t="e">
        <f t="shared" si="11"/>
        <v>#VALUE!</v>
      </c>
      <c r="S31" s="18" t="e">
        <f t="shared" si="6"/>
        <v>#VALUE!</v>
      </c>
      <c r="T31" s="47" t="e">
        <f t="shared" si="7"/>
        <v>#VALUE!</v>
      </c>
      <c r="U31" s="17">
        <f>+gastos!AD27</f>
        <v>0</v>
      </c>
    </row>
    <row r="32" spans="1:21" x14ac:dyDescent="0.25">
      <c r="A32" s="16" t="s">
        <v>91</v>
      </c>
      <c r="B32" s="16" t="s">
        <v>194</v>
      </c>
      <c r="C32" s="16">
        <v>27</v>
      </c>
      <c r="D32" s="16" t="s">
        <v>92</v>
      </c>
      <c r="E32" s="16" t="s">
        <v>168</v>
      </c>
      <c r="F32" s="17">
        <v>20400000</v>
      </c>
      <c r="G32" s="17" t="str">
        <f>+gastos!I28</f>
        <v>PráctArtísticas&amp;Culturale</v>
      </c>
      <c r="H32" s="17" t="str">
        <f>+gastos!J28</f>
        <v>Divulgación “procesos de circulación artística y cultural”  Antioquia(900052)</v>
      </c>
      <c r="I32" s="17" t="str">
        <f>+gastos!K28</f>
        <v>Procesos de circulación artística</v>
      </c>
      <c r="J32" s="17" t="str">
        <f>+gastos!L28</f>
        <v>GASTOS</v>
      </c>
      <c r="K32" s="45" t="str">
        <f>+gastos!M28</f>
        <v>Procesos de circulación artística</v>
      </c>
      <c r="L32" s="17">
        <f>+gastos!N28</f>
        <v>7988</v>
      </c>
      <c r="M32" s="45">
        <f>+gastos!O28</f>
        <v>83</v>
      </c>
      <c r="N32" s="17">
        <f>+gastos!Q28</f>
        <v>0</v>
      </c>
      <c r="O32" s="17">
        <f>+gastos!W28</f>
        <v>210532837</v>
      </c>
      <c r="P32" s="17">
        <f t="shared" si="9"/>
        <v>83</v>
      </c>
      <c r="Q32" s="17">
        <f t="shared" si="10"/>
        <v>-210532837</v>
      </c>
      <c r="R32" s="17" t="e">
        <f t="shared" si="11"/>
        <v>#VALUE!</v>
      </c>
      <c r="S32" s="18" t="e">
        <f t="shared" si="6"/>
        <v>#VALUE!</v>
      </c>
      <c r="T32" s="47" t="e">
        <f t="shared" si="7"/>
        <v>#VALUE!</v>
      </c>
      <c r="U32" s="17">
        <f>+gastos!AD28</f>
        <v>0</v>
      </c>
    </row>
    <row r="33" spans="1:21" x14ac:dyDescent="0.25">
      <c r="A33" s="20" t="s">
        <v>93</v>
      </c>
      <c r="B33" s="20" t="s">
        <v>195</v>
      </c>
      <c r="C33" s="20">
        <v>28</v>
      </c>
      <c r="D33" s="20" t="s">
        <v>94</v>
      </c>
      <c r="E33" s="20" t="s">
        <v>168</v>
      </c>
      <c r="F33" s="17">
        <v>82030000</v>
      </c>
      <c r="G33" s="17" t="str">
        <f>+gastos!I29</f>
        <v>PráctArtísticas&amp;Culturale</v>
      </c>
      <c r="H33" s="17" t="str">
        <f>+gastos!J29</f>
        <v>Divulgación “procesos de circulación artística y cultural”  Antioquia(900052)</v>
      </c>
      <c r="I33" s="17" t="str">
        <f>+gastos!K29</f>
        <v>Apoyo a la realización y participación en eventos culturales</v>
      </c>
      <c r="J33" s="17" t="str">
        <f>+gastos!L29</f>
        <v>GASTOS</v>
      </c>
      <c r="K33" s="45" t="str">
        <f>+gastos!M29</f>
        <v>Apoyo a la realización y participación en eventos culturales</v>
      </c>
      <c r="L33" s="17">
        <f>+gastos!N29</f>
        <v>7989</v>
      </c>
      <c r="M33" s="45">
        <f>+gastos!O29</f>
        <v>84</v>
      </c>
      <c r="N33" s="17">
        <f>+gastos!Q29</f>
        <v>0</v>
      </c>
      <c r="O33" s="17">
        <f>+gastos!W29</f>
        <v>35592848</v>
      </c>
      <c r="P33" s="17">
        <f t="shared" si="9"/>
        <v>84</v>
      </c>
      <c r="Q33" s="17">
        <f t="shared" si="10"/>
        <v>-35592848</v>
      </c>
      <c r="R33" s="17" t="e">
        <f t="shared" si="11"/>
        <v>#VALUE!</v>
      </c>
      <c r="S33" s="18" t="e">
        <f t="shared" si="6"/>
        <v>#VALUE!</v>
      </c>
      <c r="T33" s="48" t="e">
        <f t="shared" si="7"/>
        <v>#VALUE!</v>
      </c>
      <c r="U33" s="17">
        <f>+gastos!AD29</f>
        <v>0</v>
      </c>
    </row>
    <row r="34" spans="1:21" x14ac:dyDescent="0.25">
      <c r="A34" s="16" t="s">
        <v>95</v>
      </c>
      <c r="B34" s="16" t="s">
        <v>196</v>
      </c>
      <c r="C34" s="16">
        <v>29</v>
      </c>
      <c r="D34" s="16" t="s">
        <v>96</v>
      </c>
      <c r="E34" s="16" t="s">
        <v>168</v>
      </c>
      <c r="F34" s="17">
        <v>65000000</v>
      </c>
      <c r="G34" s="17" t="str">
        <f>+gastos!I30</f>
        <v>PráctArtísticas&amp;Culturale</v>
      </c>
      <c r="H34" s="17" t="str">
        <f>+gastos!J30</f>
        <v>Divulgación “procesos de circulación artística y cultural”  Antioquia(900052)</v>
      </c>
      <c r="I34" s="17" t="str">
        <f>+gastos!K30</f>
        <v>Circulación audiovisual y cinematografía -Circulación (Conv_ Ord 29)/10% de Ord 12</v>
      </c>
      <c r="J34" s="17" t="str">
        <f>+gastos!L30</f>
        <v>GASTOS</v>
      </c>
      <c r="K34" s="45" t="str">
        <f>+gastos!M30</f>
        <v>Circulación audiovisual y cinematografía -Circulación (Conv_ Ord 29)/10% de Ord 12</v>
      </c>
      <c r="L34" s="17">
        <f>+gastos!N30</f>
        <v>7990</v>
      </c>
      <c r="M34" s="45">
        <f>+gastos!O30</f>
        <v>85</v>
      </c>
      <c r="N34" s="17">
        <f>+gastos!Q30</f>
        <v>0</v>
      </c>
      <c r="O34" s="17">
        <f>+gastos!W30</f>
        <v>35592848</v>
      </c>
      <c r="P34" s="17">
        <f t="shared" si="9"/>
        <v>85</v>
      </c>
      <c r="Q34" s="17">
        <f t="shared" si="10"/>
        <v>-35592848</v>
      </c>
      <c r="R34" s="17" t="e">
        <f t="shared" si="11"/>
        <v>#VALUE!</v>
      </c>
      <c r="S34" s="18" t="e">
        <f t="shared" si="6"/>
        <v>#VALUE!</v>
      </c>
      <c r="T34" s="47" t="e">
        <f t="shared" si="7"/>
        <v>#VALUE!</v>
      </c>
      <c r="U34" s="17">
        <f>+gastos!AD30</f>
        <v>0</v>
      </c>
    </row>
    <row r="35" spans="1:21" x14ac:dyDescent="0.25">
      <c r="A35" s="20" t="s">
        <v>97</v>
      </c>
      <c r="B35" s="20" t="s">
        <v>197</v>
      </c>
      <c r="C35" s="20">
        <v>30</v>
      </c>
      <c r="D35" s="20" t="s">
        <v>98</v>
      </c>
      <c r="E35" s="20" t="s">
        <v>168</v>
      </c>
      <c r="F35" s="23">
        <v>2000000</v>
      </c>
      <c r="G35" s="17" t="str">
        <f>+gastos!I31</f>
        <v>EstímProcProy&amp;ActivCultur</v>
      </c>
      <c r="H35" s="17" t="str">
        <f>+gastos!J31</f>
        <v>Desarrollo "Portafolio departamental de estímulos y concertación"  Antioquia(900054)</v>
      </c>
      <c r="I35" s="17" t="str">
        <f>+gastos!K31</f>
        <v>Convocatoria de bancos Jurados</v>
      </c>
      <c r="J35" s="17" t="str">
        <f>+gastos!L31</f>
        <v>GASTOS</v>
      </c>
      <c r="K35" s="45" t="str">
        <f>+gastos!M31</f>
        <v>Convocatoria de bancos Jurados</v>
      </c>
      <c r="L35" s="17">
        <f>+gastos!N31</f>
        <v>8019</v>
      </c>
      <c r="M35" s="45">
        <f>+gastos!O31</f>
        <v>104</v>
      </c>
      <c r="N35" s="17">
        <f>+gastos!Q31</f>
        <v>0</v>
      </c>
      <c r="O35" s="17">
        <f>+gastos!W31</f>
        <v>40430000</v>
      </c>
      <c r="P35" s="17">
        <f t="shared" si="9"/>
        <v>104</v>
      </c>
      <c r="Q35" s="17">
        <f t="shared" si="10"/>
        <v>-40430000</v>
      </c>
      <c r="R35" s="17" t="e">
        <f t="shared" si="11"/>
        <v>#VALUE!</v>
      </c>
      <c r="S35" s="18" t="e">
        <f t="shared" si="6"/>
        <v>#VALUE!</v>
      </c>
      <c r="T35" s="48" t="e">
        <f t="shared" si="7"/>
        <v>#VALUE!</v>
      </c>
      <c r="U35" s="17">
        <f>+gastos!AD31</f>
        <v>0</v>
      </c>
    </row>
    <row r="36" spans="1:21" x14ac:dyDescent="0.25">
      <c r="A36" s="16" t="s">
        <v>99</v>
      </c>
      <c r="B36" s="16" t="s">
        <v>198</v>
      </c>
      <c r="C36" s="16">
        <v>31</v>
      </c>
      <c r="D36" s="16" t="s">
        <v>100</v>
      </c>
      <c r="E36" s="16" t="s">
        <v>168</v>
      </c>
      <c r="F36" s="17">
        <v>60000000</v>
      </c>
      <c r="G36" s="17" t="str">
        <f>+gastos!I32</f>
        <v>EstímProcProy&amp;ActivCultur</v>
      </c>
      <c r="H36" s="17" t="str">
        <f>+gastos!J32</f>
        <v>Desarrollo "Portafolio departamental de estímulos y concertación"  Antioquia(900054)</v>
      </c>
      <c r="I36" s="17" t="str">
        <f>+gastos!K32</f>
        <v>Acciones comunicacionales</v>
      </c>
      <c r="J36" s="17" t="str">
        <f>+gastos!L32</f>
        <v>GASTOS</v>
      </c>
      <c r="K36" s="45" t="str">
        <f>+gastos!M32</f>
        <v>Acciones comunicacionales</v>
      </c>
      <c r="L36" s="17">
        <f>+gastos!N32</f>
        <v>7991</v>
      </c>
      <c r="M36" s="45">
        <f>+gastos!O32</f>
        <v>86</v>
      </c>
      <c r="N36" s="17">
        <f>+gastos!Q32</f>
        <v>0</v>
      </c>
      <c r="O36" s="17">
        <f>+gastos!W32</f>
        <v>256069050</v>
      </c>
      <c r="P36" s="17">
        <f t="shared" si="9"/>
        <v>86</v>
      </c>
      <c r="Q36" s="17">
        <f t="shared" si="10"/>
        <v>-256069050</v>
      </c>
      <c r="R36" s="17" t="e">
        <f t="shared" si="11"/>
        <v>#VALUE!</v>
      </c>
      <c r="S36" s="18" t="e">
        <f t="shared" si="6"/>
        <v>#VALUE!</v>
      </c>
      <c r="T36" s="47" t="e">
        <f t="shared" si="7"/>
        <v>#VALUE!</v>
      </c>
      <c r="U36" s="17">
        <f>+gastos!AD32</f>
        <v>0</v>
      </c>
    </row>
    <row r="37" spans="1:21" x14ac:dyDescent="0.25">
      <c r="A37" s="16" t="s">
        <v>101</v>
      </c>
      <c r="B37" s="16" t="s">
        <v>199</v>
      </c>
      <c r="C37" s="16">
        <v>32</v>
      </c>
      <c r="D37" s="16" t="s">
        <v>102</v>
      </c>
      <c r="E37" s="16" t="s">
        <v>168</v>
      </c>
      <c r="F37" s="17">
        <v>68200000</v>
      </c>
      <c r="G37" s="17" t="str">
        <f>+gastos!I33</f>
        <v>EstímProcProy&amp;ActivCultur</v>
      </c>
      <c r="H37" s="17" t="str">
        <f>+gastos!J33</f>
        <v>Desarrollo "Portafolio departamental de estímulos y concertación"  Antioquia(900054)</v>
      </c>
      <c r="I37" s="17" t="str">
        <f>+gastos!K33</f>
        <v>Convocatoria de Salas Concertadas</v>
      </c>
      <c r="J37" s="17" t="str">
        <f>+gastos!L33</f>
        <v>GASTOS</v>
      </c>
      <c r="K37" s="45" t="str">
        <f>+gastos!M33</f>
        <v>Convocatoria de Salas Concertadas</v>
      </c>
      <c r="L37" s="17">
        <f>+gastos!N33</f>
        <v>7992</v>
      </c>
      <c r="M37" s="45">
        <f>+gastos!O33</f>
        <v>87</v>
      </c>
      <c r="N37" s="17">
        <f>+gastos!Q33</f>
        <v>0</v>
      </c>
      <c r="O37" s="17">
        <f>+gastos!W33</f>
        <v>0</v>
      </c>
      <c r="P37" s="17">
        <f t="shared" si="9"/>
        <v>87</v>
      </c>
      <c r="Q37" s="17">
        <f t="shared" si="10"/>
        <v>0</v>
      </c>
      <c r="R37" s="17" t="e">
        <f t="shared" si="11"/>
        <v>#VALUE!</v>
      </c>
      <c r="S37" s="18" t="e">
        <f t="shared" si="6"/>
        <v>#VALUE!</v>
      </c>
      <c r="T37" s="47" t="e">
        <f t="shared" si="7"/>
        <v>#VALUE!</v>
      </c>
      <c r="U37" s="17">
        <f>+gastos!AD33</f>
        <v>0</v>
      </c>
    </row>
    <row r="38" spans="1:21" x14ac:dyDescent="0.25">
      <c r="A38" s="22" t="s">
        <v>200</v>
      </c>
      <c r="B38" s="22"/>
      <c r="C38" s="22"/>
      <c r="D38" s="22"/>
      <c r="E38" s="22"/>
      <c r="F38" s="14">
        <v>23000000</v>
      </c>
      <c r="G38" s="14">
        <f t="shared" ref="G38:R38" si="12">SUM(G39:G40)</f>
        <v>0</v>
      </c>
      <c r="H38" s="14">
        <f t="shared" si="12"/>
        <v>0</v>
      </c>
      <c r="I38" s="14">
        <f t="shared" si="12"/>
        <v>0</v>
      </c>
      <c r="J38" s="14">
        <f t="shared" si="12"/>
        <v>0</v>
      </c>
      <c r="K38" s="14">
        <f t="shared" si="12"/>
        <v>0</v>
      </c>
      <c r="L38" s="14">
        <f t="shared" si="12"/>
        <v>16029</v>
      </c>
      <c r="M38" s="14">
        <f t="shared" si="12"/>
        <v>203</v>
      </c>
      <c r="N38" s="14">
        <f t="shared" si="12"/>
        <v>0</v>
      </c>
      <c r="O38" s="14">
        <f t="shared" si="12"/>
        <v>1066490545</v>
      </c>
      <c r="P38" s="14">
        <f t="shared" si="12"/>
        <v>203</v>
      </c>
      <c r="Q38" s="14">
        <f>SUM(Q39:Q40)</f>
        <v>-1066490545</v>
      </c>
      <c r="R38" s="14" t="e">
        <f t="shared" si="12"/>
        <v>#VALUE!</v>
      </c>
      <c r="S38" s="15" t="e">
        <f t="shared" si="6"/>
        <v>#DIV/0!</v>
      </c>
      <c r="T38" s="15" t="e">
        <f>+N38/K38</f>
        <v>#DIV/0!</v>
      </c>
      <c r="U38" s="14">
        <f>SUM(U39:U40)</f>
        <v>0</v>
      </c>
    </row>
    <row r="39" spans="1:21" x14ac:dyDescent="0.25">
      <c r="A39" s="16" t="s">
        <v>103</v>
      </c>
      <c r="B39" s="16" t="s">
        <v>201</v>
      </c>
      <c r="C39" s="16">
        <v>35</v>
      </c>
      <c r="D39" s="16" t="s">
        <v>104</v>
      </c>
      <c r="E39" s="16" t="str">
        <f>LEFT(D39,6)</f>
        <v>201010</v>
      </c>
      <c r="F39" s="17">
        <v>3000000</v>
      </c>
      <c r="G39" s="17" t="str">
        <f>+gastos!I34</f>
        <v>EstímProcProy&amp;ActivCultur</v>
      </c>
      <c r="H39" s="17" t="str">
        <f>+gastos!J34</f>
        <v>Desarrollo "Portafolio departamental de estímulos y concertación"  Antioquia(900054)</v>
      </c>
      <c r="I39" s="17" t="str">
        <f>+gastos!K34</f>
        <v>Convocatoria de bancos Jurados</v>
      </c>
      <c r="J39" s="17" t="str">
        <f>+gastos!L34</f>
        <v>GASTOS</v>
      </c>
      <c r="K39" s="45" t="str">
        <f>+gastos!M34</f>
        <v>Convocatoria de bancos Jurados</v>
      </c>
      <c r="L39" s="17">
        <f>+gastos!N34</f>
        <v>8036</v>
      </c>
      <c r="M39" s="45">
        <f>+gastos!O34</f>
        <v>115</v>
      </c>
      <c r="N39" s="17">
        <f>+gastos!Q34</f>
        <v>0</v>
      </c>
      <c r="O39" s="17">
        <f>+gastos!W34</f>
        <v>0</v>
      </c>
      <c r="P39" s="17">
        <f>M39-N39</f>
        <v>115</v>
      </c>
      <c r="Q39" s="17">
        <f>N39-O39</f>
        <v>0</v>
      </c>
      <c r="R39" s="17" t="e">
        <f>K39-M39</f>
        <v>#VALUE!</v>
      </c>
      <c r="S39" s="18">
        <v>0</v>
      </c>
      <c r="T39" s="47">
        <v>0</v>
      </c>
      <c r="U39" s="17">
        <f>+gastos!AD34</f>
        <v>0</v>
      </c>
    </row>
    <row r="40" spans="1:21" x14ac:dyDescent="0.25">
      <c r="A40" s="16" t="s">
        <v>202</v>
      </c>
      <c r="B40" s="16" t="s">
        <v>203</v>
      </c>
      <c r="C40" s="16">
        <v>36</v>
      </c>
      <c r="D40" s="16" t="s">
        <v>105</v>
      </c>
      <c r="E40" s="16" t="str">
        <f>LEFT(D40,6)</f>
        <v>201010</v>
      </c>
      <c r="F40" s="17">
        <v>20000000</v>
      </c>
      <c r="G40" s="17" t="str">
        <f>+gastos!I35</f>
        <v>EstímProcProy&amp;ActivCultur</v>
      </c>
      <c r="H40" s="17" t="str">
        <f>+gastos!J35</f>
        <v>Desarrollo "Portafolio departamental de estímulos y concertación"  Antioquia(900054)</v>
      </c>
      <c r="I40" s="17" t="str">
        <f>+gastos!K35</f>
        <v>Conceptualización, estructuración, definición y publicación de convocatorias públicas</v>
      </c>
      <c r="J40" s="17" t="str">
        <f>+gastos!L35</f>
        <v>GASTOS</v>
      </c>
      <c r="K40" s="45" t="str">
        <f>+gastos!M35</f>
        <v>Conceptualización, estructuración, definición y publicación de convocatorias públicas</v>
      </c>
      <c r="L40" s="17">
        <f>+gastos!N35</f>
        <v>7993</v>
      </c>
      <c r="M40" s="45">
        <f>+gastos!O35</f>
        <v>88</v>
      </c>
      <c r="N40" s="17">
        <f>+gastos!Q35</f>
        <v>0</v>
      </c>
      <c r="O40" s="17">
        <f>+gastos!W35</f>
        <v>1066490545</v>
      </c>
      <c r="P40" s="17">
        <f>M40-N40</f>
        <v>88</v>
      </c>
      <c r="Q40" s="17">
        <f>N40-O40</f>
        <v>-1066490545</v>
      </c>
      <c r="R40" s="17" t="e">
        <f>K40-M40</f>
        <v>#VALUE!</v>
      </c>
      <c r="S40" s="18" t="e">
        <f t="shared" si="6"/>
        <v>#VALUE!</v>
      </c>
      <c r="T40" s="47" t="e">
        <f t="shared" si="7"/>
        <v>#VALUE!</v>
      </c>
      <c r="U40" s="17">
        <f>+gastos!AD35</f>
        <v>0</v>
      </c>
    </row>
    <row r="41" spans="1:21" x14ac:dyDescent="0.25">
      <c r="A41" s="22" t="s">
        <v>204</v>
      </c>
      <c r="B41" s="22"/>
      <c r="C41" s="22"/>
      <c r="D41" s="22"/>
      <c r="E41" s="22"/>
      <c r="F41" s="14">
        <v>165700000</v>
      </c>
      <c r="G41" s="14">
        <f t="shared" ref="G41:R41" si="13">SUM(G42:G42)</f>
        <v>0</v>
      </c>
      <c r="H41" s="14">
        <f t="shared" si="13"/>
        <v>0</v>
      </c>
      <c r="I41" s="14">
        <f t="shared" si="13"/>
        <v>0</v>
      </c>
      <c r="J41" s="14">
        <f t="shared" si="13"/>
        <v>0</v>
      </c>
      <c r="K41" s="14">
        <f t="shared" si="13"/>
        <v>0</v>
      </c>
      <c r="L41" s="14">
        <f t="shared" si="13"/>
        <v>7924</v>
      </c>
      <c r="M41" s="14">
        <f t="shared" si="13"/>
        <v>32</v>
      </c>
      <c r="N41" s="14">
        <f t="shared" si="13"/>
        <v>120000000</v>
      </c>
      <c r="O41" s="14">
        <f t="shared" si="13"/>
        <v>75691792</v>
      </c>
      <c r="P41" s="14">
        <f t="shared" si="13"/>
        <v>-119999968</v>
      </c>
      <c r="Q41" s="14">
        <f t="shared" si="13"/>
        <v>44308208</v>
      </c>
      <c r="R41" s="14" t="e">
        <f t="shared" si="13"/>
        <v>#VALUE!</v>
      </c>
      <c r="S41" s="15" t="e">
        <f t="shared" si="6"/>
        <v>#DIV/0!</v>
      </c>
      <c r="T41" s="15" t="e">
        <f t="shared" si="7"/>
        <v>#DIV/0!</v>
      </c>
      <c r="U41" s="14">
        <f>SUM(U42:U42)</f>
        <v>0</v>
      </c>
    </row>
    <row r="42" spans="1:21" x14ac:dyDescent="0.25">
      <c r="A42" s="16" t="s">
        <v>52</v>
      </c>
      <c r="B42" s="16" t="s">
        <v>175</v>
      </c>
      <c r="C42" s="16">
        <v>62</v>
      </c>
      <c r="D42" s="16" t="s">
        <v>142</v>
      </c>
      <c r="E42" s="16" t="str">
        <f>LEFT(D42,6)</f>
        <v>291010</v>
      </c>
      <c r="F42" s="17">
        <v>165700000</v>
      </c>
      <c r="G42" s="17" t="str">
        <f>+gastos!I61</f>
        <v>FmtoGestiónCulturalTerrit</v>
      </c>
      <c r="H42" s="17" t="str">
        <f>+gastos!J61</f>
        <v>Dotación cultural y artística  Antioquia"(900064)</v>
      </c>
      <c r="I42" s="17" t="str">
        <f>+gastos!K61</f>
        <v>Diagnóstico, adquisición, clasificación y entrega de material bibliográfico y equipamientos de bibliotecas</v>
      </c>
      <c r="J42" s="17" t="str">
        <f>+gastos!L61</f>
        <v>GASTOS</v>
      </c>
      <c r="K42" s="45" t="str">
        <f>+gastos!M61</f>
        <v>Diagnóstico, adquisición, clasificación y entrega de material bibliográfico y equipamientos de bibliotecas</v>
      </c>
      <c r="L42" s="17">
        <f>+gastos!N61</f>
        <v>7924</v>
      </c>
      <c r="M42" s="45">
        <f>+gastos!O61</f>
        <v>32</v>
      </c>
      <c r="N42" s="17">
        <f>+gastos!Q61</f>
        <v>120000000</v>
      </c>
      <c r="O42" s="17">
        <f>+gastos!W61</f>
        <v>75691792</v>
      </c>
      <c r="P42" s="17">
        <f>M42-N42</f>
        <v>-119999968</v>
      </c>
      <c r="Q42" s="17">
        <f>N42-O42</f>
        <v>44308208</v>
      </c>
      <c r="R42" s="17" t="e">
        <f>K42-M42</f>
        <v>#VALUE!</v>
      </c>
      <c r="S42" s="18" t="e">
        <f t="shared" si="6"/>
        <v>#VALUE!</v>
      </c>
      <c r="T42" s="47" t="e">
        <f t="shared" si="7"/>
        <v>#VALUE!</v>
      </c>
      <c r="U42" s="17">
        <f>+gastos!AD61</f>
        <v>0</v>
      </c>
    </row>
    <row r="43" spans="1:21" x14ac:dyDescent="0.25">
      <c r="A43" s="24" t="s">
        <v>205</v>
      </c>
      <c r="B43" s="7"/>
      <c r="C43" s="7"/>
      <c r="D43" s="7"/>
      <c r="E43" s="8"/>
      <c r="F43" s="9">
        <v>10435455400</v>
      </c>
      <c r="G43" s="9">
        <f>+G44+G67</f>
        <v>0</v>
      </c>
      <c r="H43" s="9">
        <f>+H44+H67</f>
        <v>0</v>
      </c>
      <c r="I43" s="9">
        <f>+I44+I67</f>
        <v>0</v>
      </c>
      <c r="J43" s="9">
        <f>+J44+J67</f>
        <v>0</v>
      </c>
      <c r="K43" s="9">
        <f t="shared" ref="K43:R43" si="14">+K44+K67</f>
        <v>0</v>
      </c>
      <c r="L43" s="9">
        <f t="shared" si="14"/>
        <v>198992</v>
      </c>
      <c r="M43" s="9">
        <f t="shared" si="14"/>
        <v>1465</v>
      </c>
      <c r="N43" s="9">
        <f t="shared" si="14"/>
        <v>4462387204</v>
      </c>
      <c r="O43" s="9">
        <f t="shared" si="14"/>
        <v>6711165569</v>
      </c>
      <c r="P43" s="9">
        <f>+P44+P67</f>
        <v>-4462385739</v>
      </c>
      <c r="Q43" s="9">
        <f>+Q44+Q67</f>
        <v>-2248778365</v>
      </c>
      <c r="R43" s="9" t="e">
        <f t="shared" si="14"/>
        <v>#VALUE!</v>
      </c>
      <c r="S43" s="10" t="e">
        <f t="shared" si="6"/>
        <v>#DIV/0!</v>
      </c>
      <c r="T43" s="10" t="e">
        <f t="shared" si="7"/>
        <v>#DIV/0!</v>
      </c>
      <c r="U43" s="9">
        <f>+U44+U67</f>
        <v>0</v>
      </c>
    </row>
    <row r="44" spans="1:21" x14ac:dyDescent="0.25">
      <c r="A44" s="22" t="s">
        <v>106</v>
      </c>
      <c r="B44" s="22"/>
      <c r="C44" s="22"/>
      <c r="D44" s="22"/>
      <c r="E44" s="22"/>
      <c r="F44" s="14">
        <v>10243455400</v>
      </c>
      <c r="G44" s="14">
        <f>SUM(G45:G66)</f>
        <v>0</v>
      </c>
      <c r="H44" s="14">
        <f>SUM(H45:H64)</f>
        <v>0</v>
      </c>
      <c r="I44" s="14">
        <f>SUM(I45:I64)</f>
        <v>0</v>
      </c>
      <c r="J44" s="14">
        <f>SUM(J45:J64)</f>
        <v>0</v>
      </c>
      <c r="K44" s="14">
        <f t="shared" ref="K44:R44" si="15">SUM(K45:K66)</f>
        <v>0</v>
      </c>
      <c r="L44" s="14">
        <f t="shared" si="15"/>
        <v>175073</v>
      </c>
      <c r="M44" s="14">
        <f t="shared" si="15"/>
        <v>1251</v>
      </c>
      <c r="N44" s="14">
        <f t="shared" si="15"/>
        <v>4408387204</v>
      </c>
      <c r="O44" s="14">
        <f t="shared" si="15"/>
        <v>6657165569</v>
      </c>
      <c r="P44" s="14">
        <f>SUM(P45:P66)</f>
        <v>-4408385953</v>
      </c>
      <c r="Q44" s="14">
        <f>SUM(Q45:Q66)</f>
        <v>-2248778365</v>
      </c>
      <c r="R44" s="14" t="e">
        <f t="shared" si="15"/>
        <v>#VALUE!</v>
      </c>
      <c r="S44" s="15" t="e">
        <f t="shared" si="6"/>
        <v>#DIV/0!</v>
      </c>
      <c r="T44" s="15" t="e">
        <f t="shared" si="7"/>
        <v>#DIV/0!</v>
      </c>
      <c r="U44" s="14">
        <f>SUM(U45:U66)</f>
        <v>0</v>
      </c>
    </row>
    <row r="45" spans="1:21" x14ac:dyDescent="0.25">
      <c r="A45" s="16" t="s">
        <v>107</v>
      </c>
      <c r="B45" s="16" t="s">
        <v>239</v>
      </c>
      <c r="C45" s="16">
        <v>35</v>
      </c>
      <c r="D45" s="16" t="s">
        <v>108</v>
      </c>
      <c r="E45" s="16" t="s">
        <v>168</v>
      </c>
      <c r="F45" s="17">
        <v>2345850000</v>
      </c>
      <c r="G45" s="17" t="str">
        <f>+gastos!I36</f>
        <v>PráctArtísticas&amp;Culturale</v>
      </c>
      <c r="H45" s="17" t="str">
        <f>+gastos!J36</f>
        <v>Difusión "Antioquia Vive"  Antioquia(900047)</v>
      </c>
      <c r="I45" s="17" t="str">
        <f>+gastos!K36</f>
        <v>Fortalecimiento a los artístas</v>
      </c>
      <c r="J45" s="17" t="str">
        <f>+gastos!L36</f>
        <v>GASTOS</v>
      </c>
      <c r="K45" s="17" t="str">
        <f>+gastos!M36</f>
        <v>Fortalecimiento a los artístas</v>
      </c>
      <c r="L45" s="17">
        <f>+gastos!N36</f>
        <v>7910</v>
      </c>
      <c r="M45" s="17">
        <f>+gastos!O36</f>
        <v>18</v>
      </c>
      <c r="N45" s="17">
        <f>+gastos!Q36</f>
        <v>325000000</v>
      </c>
      <c r="O45" s="17">
        <f>+gastos!W36</f>
        <v>320000000</v>
      </c>
      <c r="P45" s="17">
        <f t="shared" ref="P45:P66" si="16">M45-N45</f>
        <v>-324999982</v>
      </c>
      <c r="Q45" s="17">
        <f t="shared" ref="Q45:Q66" si="17">N45-O45</f>
        <v>5000000</v>
      </c>
      <c r="R45" s="17" t="e">
        <f t="shared" ref="R45:R66" si="18">K45-M45</f>
        <v>#VALUE!</v>
      </c>
      <c r="S45" s="18" t="e">
        <f t="shared" si="6"/>
        <v>#VALUE!</v>
      </c>
      <c r="T45" s="47" t="e">
        <f t="shared" si="7"/>
        <v>#VALUE!</v>
      </c>
      <c r="U45" s="17">
        <f>+gastos!AD36</f>
        <v>0</v>
      </c>
    </row>
    <row r="46" spans="1:21" x14ac:dyDescent="0.25">
      <c r="A46" s="16" t="s">
        <v>109</v>
      </c>
      <c r="B46" s="16" t="s">
        <v>335</v>
      </c>
      <c r="C46" s="16">
        <v>36</v>
      </c>
      <c r="D46" s="16" t="s">
        <v>110</v>
      </c>
      <c r="E46" s="16" t="s">
        <v>168</v>
      </c>
      <c r="F46" s="17">
        <v>250000000</v>
      </c>
      <c r="G46" s="17" t="str">
        <f>+gastos!I37</f>
        <v>PráctArtísticas&amp;Culturale</v>
      </c>
      <c r="H46" s="17" t="str">
        <f>+gastos!J37</f>
        <v>Difusión "Antioquia Vive"  Antioquia(900047)</v>
      </c>
      <c r="I46" s="17" t="str">
        <f>+gastos!K37</f>
        <v>Circulación y muestras Artísticas</v>
      </c>
      <c r="J46" s="17" t="str">
        <f>+gastos!L37</f>
        <v>GASTOS</v>
      </c>
      <c r="K46" s="17" t="str">
        <f>+gastos!M37</f>
        <v>Circulación y muestras Artísticas</v>
      </c>
      <c r="L46" s="17">
        <f>+gastos!N37</f>
        <v>7911</v>
      </c>
      <c r="M46" s="17">
        <f>+gastos!O37</f>
        <v>19</v>
      </c>
      <c r="N46" s="17">
        <f>+gastos!Q37</f>
        <v>200000000</v>
      </c>
      <c r="O46" s="17">
        <f>+gastos!W37</f>
        <v>400000000</v>
      </c>
      <c r="P46" s="17">
        <f t="shared" si="16"/>
        <v>-199999981</v>
      </c>
      <c r="Q46" s="17">
        <f t="shared" si="17"/>
        <v>-200000000</v>
      </c>
      <c r="R46" s="17" t="e">
        <f t="shared" si="18"/>
        <v>#VALUE!</v>
      </c>
      <c r="S46" s="18" t="e">
        <f t="shared" si="6"/>
        <v>#VALUE!</v>
      </c>
      <c r="T46" s="47" t="e">
        <f t="shared" si="7"/>
        <v>#VALUE!</v>
      </c>
      <c r="U46" s="17">
        <f>+gastos!AD37</f>
        <v>0</v>
      </c>
    </row>
    <row r="47" spans="1:21" x14ac:dyDescent="0.25">
      <c r="A47" s="16" t="s">
        <v>111</v>
      </c>
      <c r="B47" s="16" t="s">
        <v>241</v>
      </c>
      <c r="C47" s="16">
        <v>37</v>
      </c>
      <c r="D47" s="16" t="s">
        <v>112</v>
      </c>
      <c r="E47" s="16" t="s">
        <v>168</v>
      </c>
      <c r="F47" s="17">
        <v>300074000</v>
      </c>
      <c r="G47" s="17" t="str">
        <f>+gastos!I38</f>
        <v>PráctArtísticas&amp;Culturale</v>
      </c>
      <c r="H47" s="17" t="str">
        <f>+gastos!J38</f>
        <v>Difusión "Antioquia Vive"  Antioquia(900047)</v>
      </c>
      <c r="I47" s="17" t="str">
        <f>+gastos!K38</f>
        <v>Presentación, evaluación, clasificación y puesta en escena</v>
      </c>
      <c r="J47" s="17" t="str">
        <f>+gastos!L38</f>
        <v>GASTOS</v>
      </c>
      <c r="K47" s="17" t="str">
        <f>+gastos!M38</f>
        <v>Presentación, evaluación, clasificación y puesta en escena</v>
      </c>
      <c r="L47" s="17">
        <f>+gastos!N38</f>
        <v>7912</v>
      </c>
      <c r="M47" s="17">
        <f>+gastos!O38</f>
        <v>20</v>
      </c>
      <c r="N47" s="17">
        <f>+gastos!Q38</f>
        <v>500000000</v>
      </c>
      <c r="O47" s="17">
        <f>+gastos!W38</f>
        <v>498443828</v>
      </c>
      <c r="P47" s="17">
        <f t="shared" si="16"/>
        <v>-499999980</v>
      </c>
      <c r="Q47" s="17">
        <f t="shared" si="17"/>
        <v>1556172</v>
      </c>
      <c r="R47" s="17" t="e">
        <f t="shared" si="18"/>
        <v>#VALUE!</v>
      </c>
      <c r="S47" s="18" t="e">
        <f t="shared" si="6"/>
        <v>#VALUE!</v>
      </c>
      <c r="T47" s="47" t="e">
        <f t="shared" si="7"/>
        <v>#VALUE!</v>
      </c>
      <c r="U47" s="17">
        <f>+gastos!AD38</f>
        <v>0</v>
      </c>
    </row>
    <row r="48" spans="1:21" x14ac:dyDescent="0.25">
      <c r="A48" s="16" t="s">
        <v>113</v>
      </c>
      <c r="B48" s="16" t="s">
        <v>336</v>
      </c>
      <c r="C48" s="16">
        <v>38</v>
      </c>
      <c r="D48" s="16" t="s">
        <v>114</v>
      </c>
      <c r="E48" s="16" t="s">
        <v>168</v>
      </c>
      <c r="F48" s="17">
        <v>777900000</v>
      </c>
      <c r="G48" s="17" t="str">
        <f>+gastos!I39</f>
        <v>PráctArtísticas&amp;Culturale</v>
      </c>
      <c r="H48" s="17" t="str">
        <f>+gastos!J39</f>
        <v>Difusión "Antioquia Vive"  Antioquia(900047)</v>
      </c>
      <c r="I48" s="17" t="str">
        <f>+gastos!K39</f>
        <v>Presentación, evaluación, clasificación y puesta en escena</v>
      </c>
      <c r="J48" s="17" t="str">
        <f>+gastos!L39</f>
        <v>GASTOS</v>
      </c>
      <c r="K48" s="17" t="str">
        <f>+gastos!M39</f>
        <v>Presentación, evaluación, clasificación y puesta en escena</v>
      </c>
      <c r="L48" s="17">
        <f>+gastos!N39</f>
        <v>8043</v>
      </c>
      <c r="M48" s="17">
        <f>+gastos!O39</f>
        <v>121</v>
      </c>
      <c r="N48" s="17">
        <f>+gastos!Q39</f>
        <v>0</v>
      </c>
      <c r="O48" s="17">
        <f>+gastos!W39</f>
        <v>1500000000</v>
      </c>
      <c r="P48" s="17">
        <f t="shared" si="16"/>
        <v>121</v>
      </c>
      <c r="Q48" s="17">
        <f t="shared" si="17"/>
        <v>-1500000000</v>
      </c>
      <c r="R48" s="17" t="e">
        <f t="shared" si="18"/>
        <v>#VALUE!</v>
      </c>
      <c r="S48" s="18" t="e">
        <f t="shared" si="6"/>
        <v>#VALUE!</v>
      </c>
      <c r="T48" s="47" t="e">
        <f t="shared" si="7"/>
        <v>#VALUE!</v>
      </c>
      <c r="U48" s="17">
        <f>+gastos!AD39</f>
        <v>0</v>
      </c>
    </row>
    <row r="49" spans="1:21" x14ac:dyDescent="0.25">
      <c r="A49" s="16" t="s">
        <v>115</v>
      </c>
      <c r="B49" s="16" t="s">
        <v>337</v>
      </c>
      <c r="C49" s="16">
        <v>39</v>
      </c>
      <c r="D49" s="16" t="s">
        <v>116</v>
      </c>
      <c r="E49" s="16" t="s">
        <v>168</v>
      </c>
      <c r="F49" s="17">
        <v>1755000000</v>
      </c>
      <c r="G49" s="17" t="str">
        <f>+gastos!I40</f>
        <v>EstímProcProy&amp;ActivCultur</v>
      </c>
      <c r="H49" s="17" t="str">
        <f>+gastos!J40</f>
        <v>Formación artística y cultural  Antioquia(900063)</v>
      </c>
      <c r="I49" s="17" t="str">
        <f>+gastos!K40</f>
        <v>Programa de profesionalización.VF</v>
      </c>
      <c r="J49" s="17" t="str">
        <f>+gastos!L40</f>
        <v>GASTOS</v>
      </c>
      <c r="K49" s="17" t="str">
        <f>+gastos!M40</f>
        <v>Programa de profesionalización Vigencia</v>
      </c>
      <c r="L49" s="17">
        <f>+gastos!N40</f>
        <v>8002</v>
      </c>
      <c r="M49" s="17">
        <f>+gastos!O40</f>
        <v>94</v>
      </c>
      <c r="N49" s="17">
        <f>+gastos!Q40</f>
        <v>0</v>
      </c>
      <c r="O49" s="17">
        <f>+gastos!W40</f>
        <v>0</v>
      </c>
      <c r="P49" s="17">
        <f t="shared" si="16"/>
        <v>94</v>
      </c>
      <c r="Q49" s="17">
        <f t="shared" si="17"/>
        <v>0</v>
      </c>
      <c r="R49" s="17" t="e">
        <f t="shared" si="18"/>
        <v>#VALUE!</v>
      </c>
      <c r="S49" s="18" t="e">
        <f t="shared" si="6"/>
        <v>#VALUE!</v>
      </c>
      <c r="T49" s="47" t="e">
        <f t="shared" si="7"/>
        <v>#VALUE!</v>
      </c>
      <c r="U49" s="17">
        <f>+gastos!AD40</f>
        <v>0</v>
      </c>
    </row>
    <row r="50" spans="1:21" x14ac:dyDescent="0.25">
      <c r="A50" s="16" t="s">
        <v>117</v>
      </c>
      <c r="B50" s="16" t="s">
        <v>338</v>
      </c>
      <c r="C50" s="16">
        <v>40</v>
      </c>
      <c r="D50" s="16" t="s">
        <v>118</v>
      </c>
      <c r="E50" s="16" t="s">
        <v>168</v>
      </c>
      <c r="F50" s="17">
        <v>533926000</v>
      </c>
      <c r="G50" s="17" t="str">
        <f>+gastos!I41</f>
        <v>EstímProcProy&amp;ActivCultur</v>
      </c>
      <c r="H50" s="17" t="str">
        <f>+gastos!J41</f>
        <v>Formación artística y cultural  Antioquia(900063)</v>
      </c>
      <c r="I50" s="17" t="str">
        <f>+gastos!K41</f>
        <v xml:space="preserve">Emprendedores formados en temas de industrias creativas y /o economia naranja (Ord 42) </v>
      </c>
      <c r="J50" s="17" t="str">
        <f>+gastos!L41</f>
        <v>GASTOS</v>
      </c>
      <c r="K50" s="17" t="str">
        <f>+gastos!M41</f>
        <v xml:space="preserve">Emprendedores formados en temas de industrias creativas y /o economia naranja (Ord 42) </v>
      </c>
      <c r="L50" s="17">
        <f>+gastos!N41</f>
        <v>7913</v>
      </c>
      <c r="M50" s="17">
        <f>+gastos!O41</f>
        <v>21</v>
      </c>
      <c r="N50" s="17">
        <f>+gastos!Q41</f>
        <v>50000000</v>
      </c>
      <c r="O50" s="17">
        <f>+gastos!W41</f>
        <v>35592848</v>
      </c>
      <c r="P50" s="17">
        <f t="shared" si="16"/>
        <v>-49999979</v>
      </c>
      <c r="Q50" s="17">
        <f t="shared" si="17"/>
        <v>14407152</v>
      </c>
      <c r="R50" s="17" t="e">
        <f t="shared" si="18"/>
        <v>#VALUE!</v>
      </c>
      <c r="S50" s="18" t="e">
        <f t="shared" si="6"/>
        <v>#VALUE!</v>
      </c>
      <c r="T50" s="47" t="e">
        <f t="shared" si="7"/>
        <v>#VALUE!</v>
      </c>
      <c r="U50" s="17">
        <f>+gastos!AD41</f>
        <v>0</v>
      </c>
    </row>
    <row r="51" spans="1:21" x14ac:dyDescent="0.25">
      <c r="A51" s="16" t="s">
        <v>119</v>
      </c>
      <c r="B51" s="16" t="s">
        <v>242</v>
      </c>
      <c r="C51" s="16">
        <v>41</v>
      </c>
      <c r="D51" s="16" t="s">
        <v>120</v>
      </c>
      <c r="E51" s="16" t="s">
        <v>168</v>
      </c>
      <c r="F51" s="17">
        <v>617000000</v>
      </c>
      <c r="G51" s="17" t="str">
        <f>+gastos!I42</f>
        <v>Vigencias Futuras - EstímProcProy&amp;ActivCultur</v>
      </c>
      <c r="H51" s="17" t="str">
        <f>+gastos!J42</f>
        <v>Formación artística y cultural  Antioquia(900063)</v>
      </c>
      <c r="I51" s="17" t="str">
        <f>+gastos!K42</f>
        <v>Programa de profesionalización.VF</v>
      </c>
      <c r="J51" s="17" t="str">
        <f>+gastos!L42</f>
        <v>GASTOS</v>
      </c>
      <c r="K51" s="17" t="str">
        <f>+gastos!M42</f>
        <v>Programa de profesionalización.VF</v>
      </c>
      <c r="L51" s="17">
        <f>+gastos!N42</f>
        <v>7914</v>
      </c>
      <c r="M51" s="17">
        <f>+gastos!O42</f>
        <v>22</v>
      </c>
      <c r="N51" s="17">
        <f>+gastos!Q42</f>
        <v>850000000</v>
      </c>
      <c r="O51" s="17">
        <f>+gastos!W42</f>
        <v>850000000</v>
      </c>
      <c r="P51" s="17">
        <f t="shared" si="16"/>
        <v>-849999978</v>
      </c>
      <c r="Q51" s="17">
        <f t="shared" si="17"/>
        <v>0</v>
      </c>
      <c r="R51" s="17" t="e">
        <f t="shared" si="18"/>
        <v>#VALUE!</v>
      </c>
      <c r="S51" s="18" t="e">
        <f t="shared" si="6"/>
        <v>#VALUE!</v>
      </c>
      <c r="T51" s="47" t="e">
        <f t="shared" si="7"/>
        <v>#VALUE!</v>
      </c>
      <c r="U51" s="17">
        <f>+gastos!AD42</f>
        <v>0</v>
      </c>
    </row>
    <row r="52" spans="1:21" x14ac:dyDescent="0.25">
      <c r="A52" s="16" t="s">
        <v>121</v>
      </c>
      <c r="B52" s="16" t="s">
        <v>240</v>
      </c>
      <c r="C52" s="16">
        <v>42</v>
      </c>
      <c r="D52" s="16" t="s">
        <v>122</v>
      </c>
      <c r="E52" s="16" t="s">
        <v>168</v>
      </c>
      <c r="F52" s="17">
        <v>250000000</v>
      </c>
      <c r="G52" s="17" t="str">
        <f>+gastos!I43</f>
        <v>EstímProcProy&amp;ActivCultur</v>
      </c>
      <c r="H52" s="17" t="str">
        <f>+gastos!J43</f>
        <v>Formación artística y cultural  Antioquia(900063)</v>
      </c>
      <c r="I52" s="17" t="str">
        <f>+gastos!K43</f>
        <v>Programa de profesionalización.VF</v>
      </c>
      <c r="J52" s="17" t="str">
        <f>+gastos!L43</f>
        <v>GASTOS</v>
      </c>
      <c r="K52" s="17" t="str">
        <f>+gastos!M43</f>
        <v>Programa de profesionalización</v>
      </c>
      <c r="L52" s="17">
        <f>+gastos!N43</f>
        <v>8003</v>
      </c>
      <c r="M52" s="17">
        <f>+gastos!O43</f>
        <v>95</v>
      </c>
      <c r="N52" s="17">
        <f>+gastos!Q43</f>
        <v>0</v>
      </c>
      <c r="O52" s="17">
        <f>+gastos!W43</f>
        <v>795000000</v>
      </c>
      <c r="P52" s="17">
        <f t="shared" si="16"/>
        <v>95</v>
      </c>
      <c r="Q52" s="17">
        <f t="shared" si="17"/>
        <v>-795000000</v>
      </c>
      <c r="R52" s="17" t="e">
        <f t="shared" si="18"/>
        <v>#VALUE!</v>
      </c>
      <c r="S52" s="18" t="e">
        <f t="shared" si="6"/>
        <v>#VALUE!</v>
      </c>
      <c r="T52" s="47" t="e">
        <f t="shared" si="7"/>
        <v>#VALUE!</v>
      </c>
      <c r="U52" s="17">
        <f>+gastos!AD43</f>
        <v>0</v>
      </c>
    </row>
    <row r="53" spans="1:21" x14ac:dyDescent="0.25">
      <c r="A53" s="16" t="s">
        <v>113</v>
      </c>
      <c r="B53" s="16" t="s">
        <v>336</v>
      </c>
      <c r="C53" s="16">
        <v>45</v>
      </c>
      <c r="D53" s="16" t="s">
        <v>130</v>
      </c>
      <c r="E53" s="16" t="s">
        <v>339</v>
      </c>
      <c r="F53" s="17">
        <v>5000000</v>
      </c>
      <c r="G53" s="17" t="str">
        <f>+gastos!I46</f>
        <v>FormDivulPatrimCultural</v>
      </c>
      <c r="H53" s="17" t="str">
        <f>+gastos!J46</f>
        <v>Conservación "apropiación y divulgación del patrimonio cultural"  Antioquia(900056)</v>
      </c>
      <c r="I53" s="17" t="str">
        <f>+gastos!K46</f>
        <v>Intervenciones de bienes de interés cultural</v>
      </c>
      <c r="J53" s="17" t="str">
        <f>+gastos!L46</f>
        <v>GASTOS</v>
      </c>
      <c r="K53" s="17" t="str">
        <f>+gastos!M46</f>
        <v>Intervenciones de bienes de interes cultural</v>
      </c>
      <c r="L53" s="17">
        <f>+gastos!N46</f>
        <v>8020</v>
      </c>
      <c r="M53" s="17">
        <f>+gastos!O46</f>
        <v>105</v>
      </c>
      <c r="N53" s="17">
        <f>+gastos!Q46</f>
        <v>0</v>
      </c>
      <c r="O53" s="17">
        <f>+gastos!W46</f>
        <v>447528584</v>
      </c>
      <c r="P53" s="17">
        <f t="shared" si="16"/>
        <v>105</v>
      </c>
      <c r="Q53" s="17">
        <f t="shared" si="17"/>
        <v>-447528584</v>
      </c>
      <c r="R53" s="17" t="e">
        <f t="shared" si="18"/>
        <v>#VALUE!</v>
      </c>
      <c r="S53" s="18" t="e">
        <f t="shared" si="6"/>
        <v>#VALUE!</v>
      </c>
      <c r="T53" s="47" t="e">
        <f t="shared" si="7"/>
        <v>#VALUE!</v>
      </c>
      <c r="U53" s="17">
        <f>+gastos!AD46</f>
        <v>0</v>
      </c>
    </row>
    <row r="54" spans="1:21" x14ac:dyDescent="0.25">
      <c r="A54" s="20" t="s">
        <v>121</v>
      </c>
      <c r="B54" s="20" t="s">
        <v>240</v>
      </c>
      <c r="C54" s="20">
        <v>58</v>
      </c>
      <c r="D54" s="20" t="s">
        <v>131</v>
      </c>
      <c r="E54" s="16" t="s">
        <v>339</v>
      </c>
      <c r="F54" s="17">
        <v>0</v>
      </c>
      <c r="G54" s="17" t="str">
        <f>+gastos!I47</f>
        <v>FormDivulPatrimCultural</v>
      </c>
      <c r="H54" s="17" t="str">
        <f>+gastos!J47</f>
        <v>Conservación "apropiación y divulgación del patrimonio cultural"  Antioquia(900056)</v>
      </c>
      <c r="I54" s="17" t="str">
        <f>+gastos!K47</f>
        <v>Investigaciones en aréas artísticas y culturales AAH (Ord.27)</v>
      </c>
      <c r="J54" s="17" t="str">
        <f>+gastos!L47</f>
        <v>GASTOS</v>
      </c>
      <c r="K54" s="17" t="str">
        <f>+gastos!M47</f>
        <v>Investigaciones en aréas artísticas y culturales AAH (Ord.27)</v>
      </c>
      <c r="L54" s="17">
        <f>+gastos!N47</f>
        <v>7915</v>
      </c>
      <c r="M54" s="17">
        <f>+gastos!O47</f>
        <v>23</v>
      </c>
      <c r="N54" s="17">
        <f>+gastos!Q47</f>
        <v>221062382</v>
      </c>
      <c r="O54" s="17">
        <f>+gastos!W47</f>
        <v>215982196</v>
      </c>
      <c r="P54" s="17">
        <f t="shared" si="16"/>
        <v>-221062359</v>
      </c>
      <c r="Q54" s="17">
        <f t="shared" si="17"/>
        <v>5080186</v>
      </c>
      <c r="R54" s="17" t="e">
        <f t="shared" si="18"/>
        <v>#VALUE!</v>
      </c>
      <c r="S54" s="18" t="e">
        <f t="shared" si="6"/>
        <v>#VALUE!</v>
      </c>
      <c r="T54" s="47" t="e">
        <f t="shared" si="7"/>
        <v>#VALUE!</v>
      </c>
      <c r="U54" s="17">
        <f>+gastos!AD47</f>
        <v>0</v>
      </c>
    </row>
    <row r="55" spans="1:21" x14ac:dyDescent="0.25">
      <c r="A55" s="20" t="s">
        <v>107</v>
      </c>
      <c r="B55" s="20" t="s">
        <v>239</v>
      </c>
      <c r="C55" s="20">
        <v>59</v>
      </c>
      <c r="D55" s="20" t="s">
        <v>128</v>
      </c>
      <c r="E55" s="16" t="s">
        <v>339</v>
      </c>
      <c r="F55" s="17">
        <v>0</v>
      </c>
      <c r="G55" s="17" t="str">
        <f>+gastos!I48</f>
        <v>FormDivulPatrimCultural</v>
      </c>
      <c r="H55" s="17" t="str">
        <f>+gastos!J48</f>
        <v>Conservación "apropiación y divulgación del patrimonio cultural"  Antioquia(900056)</v>
      </c>
      <c r="I55" s="17" t="str">
        <f>+gastos!K48</f>
        <v>Formulación de proyectos a implementarse en los  P.E.S Y P.E.M</v>
      </c>
      <c r="J55" s="17" t="str">
        <f>+gastos!L48</f>
        <v>GASTOS</v>
      </c>
      <c r="K55" s="17" t="str">
        <f>+gastos!M48</f>
        <v>Formulación de proyectos a implementarse en los  P.E.S Y P.E.M</v>
      </c>
      <c r="L55" s="17">
        <f>+gastos!N48</f>
        <v>7916</v>
      </c>
      <c r="M55" s="17">
        <f>+gastos!O48</f>
        <v>24</v>
      </c>
      <c r="N55" s="17">
        <f>+gastos!Q48</f>
        <v>30963803</v>
      </c>
      <c r="O55" s="17">
        <f>+gastos!W48</f>
        <v>0</v>
      </c>
      <c r="P55" s="17">
        <f t="shared" si="16"/>
        <v>-30963779</v>
      </c>
      <c r="Q55" s="17">
        <f t="shared" si="17"/>
        <v>30963803</v>
      </c>
      <c r="R55" s="17" t="e">
        <f t="shared" si="18"/>
        <v>#VALUE!</v>
      </c>
      <c r="S55" s="18" t="e">
        <f t="shared" si="6"/>
        <v>#VALUE!</v>
      </c>
      <c r="T55" s="47" t="e">
        <f t="shared" si="7"/>
        <v>#VALUE!</v>
      </c>
      <c r="U55" s="17">
        <f>+gastos!AD48</f>
        <v>0</v>
      </c>
    </row>
    <row r="56" spans="1:21" x14ac:dyDescent="0.25">
      <c r="A56" s="20" t="s">
        <v>111</v>
      </c>
      <c r="B56" s="20" t="s">
        <v>241</v>
      </c>
      <c r="C56" s="20">
        <v>60</v>
      </c>
      <c r="D56" s="20" t="s">
        <v>129</v>
      </c>
      <c r="E56" s="16" t="s">
        <v>339</v>
      </c>
      <c r="F56" s="17">
        <v>0</v>
      </c>
      <c r="G56" s="17" t="str">
        <f>+gastos!I49</f>
        <v>FormDivulPatrimCultural</v>
      </c>
      <c r="H56" s="17" t="str">
        <f>+gastos!J49</f>
        <v>Conservación "apropiación y divulgación del patrimonio cultural"  Antioquia(900056)</v>
      </c>
      <c r="I56" s="17" t="str">
        <f>+gastos!K49</f>
        <v>Actividades entorno a la apropiación del patrimonio. Cátedra de Patrimonio</v>
      </c>
      <c r="J56" s="17" t="str">
        <f>+gastos!L49</f>
        <v>GASTOS</v>
      </c>
      <c r="K56" s="17" t="str">
        <f>+gastos!M49</f>
        <v>Actividades entorno a la apropiación del patrimonio. Cátedra de Patrimonio</v>
      </c>
      <c r="L56" s="17">
        <f>+gastos!N49</f>
        <v>7917</v>
      </c>
      <c r="M56" s="17">
        <f>+gastos!O49</f>
        <v>25</v>
      </c>
      <c r="N56" s="17">
        <f>+gastos!Q49</f>
        <v>1843361019</v>
      </c>
      <c r="O56" s="17">
        <f>+gastos!W49</f>
        <v>56920000</v>
      </c>
      <c r="P56" s="17">
        <f t="shared" si="16"/>
        <v>-1843360994</v>
      </c>
      <c r="Q56" s="17">
        <f t="shared" si="17"/>
        <v>1786441019</v>
      </c>
      <c r="R56" s="17" t="e">
        <f t="shared" si="18"/>
        <v>#VALUE!</v>
      </c>
      <c r="S56" s="18" t="e">
        <f t="shared" si="6"/>
        <v>#VALUE!</v>
      </c>
      <c r="T56" s="47" t="e">
        <f t="shared" si="7"/>
        <v>#VALUE!</v>
      </c>
      <c r="U56" s="17">
        <f>+gastos!AD49</f>
        <v>0</v>
      </c>
    </row>
    <row r="57" spans="1:21" x14ac:dyDescent="0.25">
      <c r="A57" s="20" t="s">
        <v>107</v>
      </c>
      <c r="B57" s="20" t="s">
        <v>239</v>
      </c>
      <c r="C57" s="20">
        <v>46</v>
      </c>
      <c r="D57" s="20" t="s">
        <v>132</v>
      </c>
      <c r="E57" s="16" t="s">
        <v>340</v>
      </c>
      <c r="F57" s="17">
        <v>930023000</v>
      </c>
      <c r="G57" s="17" t="str">
        <f>+gastos!I50</f>
        <v>FormDivulPatrimCultural</v>
      </c>
      <c r="H57" s="17" t="str">
        <f>+gastos!J50</f>
        <v>Conservación "apropiación y divulgación del patrimonio cultural"  Antioquia(900056)</v>
      </c>
      <c r="I57" s="17" t="str">
        <f>+gastos!K50</f>
        <v xml:space="preserve">Mantenimientos y adecuaciones al Palacio de la Cultura </v>
      </c>
      <c r="J57" s="17" t="str">
        <f>+gastos!L50</f>
        <v>GASTOS</v>
      </c>
      <c r="K57" s="17" t="str">
        <f>+gastos!M50</f>
        <v xml:space="preserve">Mantenimientos y adecuaciones al Palacio de la Cultura </v>
      </c>
      <c r="L57" s="17">
        <f>+gastos!N50</f>
        <v>7918</v>
      </c>
      <c r="M57" s="17">
        <f>+gastos!O50</f>
        <v>26</v>
      </c>
      <c r="N57" s="17">
        <f>+gastos!Q50</f>
        <v>50000000</v>
      </c>
      <c r="O57" s="17">
        <f>+gastos!W50</f>
        <v>0</v>
      </c>
      <c r="P57" s="17">
        <f t="shared" si="16"/>
        <v>-49999974</v>
      </c>
      <c r="Q57" s="17">
        <f t="shared" si="17"/>
        <v>50000000</v>
      </c>
      <c r="R57" s="17" t="e">
        <f t="shared" si="18"/>
        <v>#VALUE!</v>
      </c>
      <c r="S57" s="18" t="e">
        <f t="shared" si="6"/>
        <v>#VALUE!</v>
      </c>
      <c r="T57" s="47" t="e">
        <f t="shared" si="7"/>
        <v>#VALUE!</v>
      </c>
      <c r="U57" s="17">
        <f>+gastos!AD50</f>
        <v>0</v>
      </c>
    </row>
    <row r="58" spans="1:21" x14ac:dyDescent="0.25">
      <c r="A58" s="20" t="s">
        <v>119</v>
      </c>
      <c r="B58" s="20" t="s">
        <v>242</v>
      </c>
      <c r="C58" s="20">
        <v>47</v>
      </c>
      <c r="D58" s="20" t="s">
        <v>133</v>
      </c>
      <c r="E58" s="16" t="s">
        <v>341</v>
      </c>
      <c r="F58" s="17">
        <v>2478682400</v>
      </c>
      <c r="G58" s="17" t="str">
        <f>+gastos!I51</f>
        <v>FormDivulPatrimCultural</v>
      </c>
      <c r="H58" s="17" t="str">
        <f>+gastos!J51</f>
        <v>Conservación "apropiación y divulgación del patrimonio cultural"  Antioquia(900056)</v>
      </c>
      <c r="I58" s="17" t="str">
        <f>+gastos!K51</f>
        <v>realización de inventarios de Patrimonio cultural</v>
      </c>
      <c r="J58" s="17" t="str">
        <f>+gastos!L51</f>
        <v>GASTOS</v>
      </c>
      <c r="K58" s="17" t="str">
        <f>+gastos!M51</f>
        <v>realización de inventarios de Patrimonio cultural</v>
      </c>
      <c r="L58" s="17">
        <f>+gastos!N51</f>
        <v>7919</v>
      </c>
      <c r="M58" s="17">
        <f>+gastos!O51</f>
        <v>27</v>
      </c>
      <c r="N58" s="17">
        <f>+gastos!Q51</f>
        <v>4000000</v>
      </c>
      <c r="O58" s="17">
        <f>+gastos!W51</f>
        <v>583522476</v>
      </c>
      <c r="P58" s="17">
        <f t="shared" si="16"/>
        <v>-3999973</v>
      </c>
      <c r="Q58" s="17">
        <f t="shared" si="17"/>
        <v>-579522476</v>
      </c>
      <c r="R58" s="17" t="e">
        <f t="shared" si="18"/>
        <v>#VALUE!</v>
      </c>
      <c r="S58" s="18" t="e">
        <f t="shared" si="6"/>
        <v>#VALUE!</v>
      </c>
      <c r="T58" s="47" t="e">
        <f t="shared" si="7"/>
        <v>#VALUE!</v>
      </c>
      <c r="U58" s="17">
        <f>+gastos!AD51</f>
        <v>0</v>
      </c>
    </row>
    <row r="59" spans="1:21" x14ac:dyDescent="0.25">
      <c r="A59" s="20" t="s">
        <v>109</v>
      </c>
      <c r="B59" s="20" t="s">
        <v>335</v>
      </c>
      <c r="C59" s="20">
        <v>49</v>
      </c>
      <c r="D59" s="20" t="s">
        <v>134</v>
      </c>
      <c r="E59" s="16" t="s">
        <v>342</v>
      </c>
      <c r="F59" s="17">
        <v>0</v>
      </c>
      <c r="G59" s="17" t="str">
        <f>+gastos!I52</f>
        <v>FormDivulPatrimCultural</v>
      </c>
      <c r="H59" s="17" t="str">
        <f>+gastos!J52</f>
        <v>Conservación "apropiación y divulgación del patrimonio cultural"  Antioquia(900056)</v>
      </c>
      <c r="I59" s="17" t="str">
        <f>+gastos!K52</f>
        <v>Intervenciones de bienes de interés cultural</v>
      </c>
      <c r="J59" s="17" t="str">
        <f>+gastos!L52</f>
        <v>GASTOS</v>
      </c>
      <c r="K59" s="17" t="str">
        <f>+gastos!M52</f>
        <v>Intervenciones de bienes de interes cultural</v>
      </c>
      <c r="L59" s="17">
        <f>+gastos!N52</f>
        <v>7986</v>
      </c>
      <c r="M59" s="17">
        <f>+gastos!O52</f>
        <v>81</v>
      </c>
      <c r="N59" s="17">
        <f>+gastos!Q52</f>
        <v>0</v>
      </c>
      <c r="O59" s="17">
        <f>+gastos!W52</f>
        <v>155155349</v>
      </c>
      <c r="P59" s="17">
        <f t="shared" si="16"/>
        <v>81</v>
      </c>
      <c r="Q59" s="17">
        <f t="shared" si="17"/>
        <v>-155155349</v>
      </c>
      <c r="R59" s="17" t="e">
        <f t="shared" si="18"/>
        <v>#VALUE!</v>
      </c>
      <c r="S59" s="18" t="e">
        <f t="shared" si="6"/>
        <v>#VALUE!</v>
      </c>
      <c r="T59" s="47" t="e">
        <f t="shared" si="7"/>
        <v>#VALUE!</v>
      </c>
      <c r="U59" s="17">
        <f>+gastos!AD52</f>
        <v>0</v>
      </c>
    </row>
    <row r="60" spans="1:21" x14ac:dyDescent="0.25">
      <c r="A60" s="20" t="s">
        <v>111</v>
      </c>
      <c r="B60" s="20" t="s">
        <v>241</v>
      </c>
      <c r="C60" s="20">
        <v>50</v>
      </c>
      <c r="D60" s="20" t="s">
        <v>135</v>
      </c>
      <c r="E60" s="16" t="s">
        <v>342</v>
      </c>
      <c r="F60" s="17">
        <v>0</v>
      </c>
      <c r="G60" s="17" t="str">
        <f>+gastos!I53</f>
        <v>FormDivulPatrimCultural</v>
      </c>
      <c r="H60" s="17" t="str">
        <f>+gastos!J53</f>
        <v>Conservación "apropiación y divulgación del patrimonio cultural"  Antioquia(900056)</v>
      </c>
      <c r="I60" s="17" t="str">
        <f>+gastos!K53</f>
        <v>Formulación de proyectos a implementarse en los  P.E.S Y P.E.M</v>
      </c>
      <c r="J60" s="17" t="str">
        <f>+gastos!L53</f>
        <v>GASTOS</v>
      </c>
      <c r="K60" s="17" t="str">
        <f>+gastos!M53</f>
        <v>Formulación de proyectos a implementarse en los  P.E.S Y P.E.M</v>
      </c>
      <c r="L60" s="17">
        <f>+gastos!N53</f>
        <v>8037</v>
      </c>
      <c r="M60" s="17">
        <f>+gastos!O53</f>
        <v>116</v>
      </c>
      <c r="N60" s="17">
        <f>+gastos!Q53</f>
        <v>0</v>
      </c>
      <c r="O60" s="17">
        <f>+gastos!W53</f>
        <v>30000000</v>
      </c>
      <c r="P60" s="17">
        <f t="shared" si="16"/>
        <v>116</v>
      </c>
      <c r="Q60" s="17">
        <f t="shared" si="17"/>
        <v>-30000000</v>
      </c>
      <c r="R60" s="17" t="e">
        <f t="shared" si="18"/>
        <v>#VALUE!</v>
      </c>
      <c r="S60" s="18" t="e">
        <f t="shared" si="6"/>
        <v>#VALUE!</v>
      </c>
      <c r="T60" s="47" t="e">
        <f t="shared" si="7"/>
        <v>#VALUE!</v>
      </c>
      <c r="U60" s="17">
        <f>+gastos!AD53</f>
        <v>0</v>
      </c>
    </row>
    <row r="61" spans="1:21" x14ac:dyDescent="0.25">
      <c r="A61" s="20" t="s">
        <v>115</v>
      </c>
      <c r="B61" s="20" t="s">
        <v>337</v>
      </c>
      <c r="C61" s="20">
        <v>51</v>
      </c>
      <c r="D61" s="20" t="s">
        <v>136</v>
      </c>
      <c r="E61" s="16" t="s">
        <v>342</v>
      </c>
      <c r="F61" s="17">
        <v>0</v>
      </c>
      <c r="G61" s="17" t="str">
        <f>+gastos!I54</f>
        <v>FormDivulPatrimCultural</v>
      </c>
      <c r="H61" s="17" t="str">
        <f>+gastos!J54</f>
        <v>Conservación "apropiación y divulgación del patrimonio cultural"  Antioquia(900056)</v>
      </c>
      <c r="I61" s="17" t="str">
        <f>+gastos!K54</f>
        <v>Actividades entorno a la apropiación del patrimonio. Cátedra de Patrimonio</v>
      </c>
      <c r="J61" s="17" t="str">
        <f>+gastos!L54</f>
        <v>GASTOS</v>
      </c>
      <c r="K61" s="17" t="str">
        <f>+gastos!M54</f>
        <v>Actividades entorno a la apropiación del patrimonio. Cátedra de Patrimonio</v>
      </c>
      <c r="L61" s="17">
        <f>+gastos!N54</f>
        <v>7995</v>
      </c>
      <c r="M61" s="17">
        <f>+gastos!O54</f>
        <v>90</v>
      </c>
      <c r="N61" s="17">
        <f>+gastos!Q54</f>
        <v>0</v>
      </c>
      <c r="O61" s="17">
        <f>+gastos!W54</f>
        <v>35592848</v>
      </c>
      <c r="P61" s="17">
        <f t="shared" si="16"/>
        <v>90</v>
      </c>
      <c r="Q61" s="17">
        <f t="shared" si="17"/>
        <v>-35592848</v>
      </c>
      <c r="R61" s="17" t="e">
        <f t="shared" si="18"/>
        <v>#VALUE!</v>
      </c>
      <c r="S61" s="18" t="e">
        <f t="shared" si="6"/>
        <v>#VALUE!</v>
      </c>
      <c r="T61" s="47" t="e">
        <f t="shared" si="7"/>
        <v>#VALUE!</v>
      </c>
      <c r="U61" s="17">
        <f>+gastos!AD54</f>
        <v>0</v>
      </c>
    </row>
    <row r="62" spans="1:21" x14ac:dyDescent="0.25">
      <c r="A62" s="20" t="s">
        <v>117</v>
      </c>
      <c r="B62" s="20" t="s">
        <v>338</v>
      </c>
      <c r="C62" s="20">
        <v>52</v>
      </c>
      <c r="D62" s="20" t="s">
        <v>137</v>
      </c>
      <c r="E62" s="16" t="s">
        <v>342</v>
      </c>
      <c r="F62" s="17">
        <v>0</v>
      </c>
      <c r="G62" s="17" t="str">
        <f>+gastos!I55</f>
        <v>FormDivulPatrimCultural</v>
      </c>
      <c r="H62" s="17" t="str">
        <f>+gastos!J55</f>
        <v>Conservación "apropiación y divulgación del patrimonio cultural"  Antioquia(900056)</v>
      </c>
      <c r="I62" s="17" t="str">
        <f>+gastos!K55</f>
        <v>realización de inventarios de Patrimonio cultural</v>
      </c>
      <c r="J62" s="17" t="str">
        <f>+gastos!L55</f>
        <v>GASTOS</v>
      </c>
      <c r="K62" s="17" t="str">
        <f>+gastos!M55</f>
        <v>realización de inventarios de Patrimonio cultural</v>
      </c>
      <c r="L62" s="17">
        <f>+gastos!N55</f>
        <v>8038</v>
      </c>
      <c r="M62" s="17">
        <f>+gastos!O55</f>
        <v>117</v>
      </c>
      <c r="N62" s="17">
        <f>+gastos!Q55</f>
        <v>0</v>
      </c>
      <c r="O62" s="17">
        <f>+gastos!W55</f>
        <v>4997420</v>
      </c>
      <c r="P62" s="17">
        <f t="shared" si="16"/>
        <v>117</v>
      </c>
      <c r="Q62" s="17">
        <f t="shared" si="17"/>
        <v>-4997420</v>
      </c>
      <c r="R62" s="17" t="e">
        <f t="shared" si="18"/>
        <v>#VALUE!</v>
      </c>
      <c r="S62" s="18" t="e">
        <f t="shared" si="6"/>
        <v>#VALUE!</v>
      </c>
      <c r="T62" s="47" t="e">
        <f t="shared" si="7"/>
        <v>#VALUE!</v>
      </c>
      <c r="U62" s="17">
        <f>+gastos!AD55</f>
        <v>0</v>
      </c>
    </row>
    <row r="63" spans="1:21" x14ac:dyDescent="0.25">
      <c r="A63" s="20" t="s">
        <v>119</v>
      </c>
      <c r="B63" s="20" t="s">
        <v>242</v>
      </c>
      <c r="C63" s="20">
        <v>53</v>
      </c>
      <c r="D63" s="20" t="s">
        <v>138</v>
      </c>
      <c r="E63" s="16" t="s">
        <v>342</v>
      </c>
      <c r="F63" s="17">
        <v>0</v>
      </c>
      <c r="G63" s="17" t="str">
        <f>+gastos!I56</f>
        <v>FormDivulPatrimCultural</v>
      </c>
      <c r="H63" s="17" t="str">
        <f>+gastos!J56</f>
        <v>Conservación "apropiación y divulgación del patrimonio cultural"  Antioquia(900056)</v>
      </c>
      <c r="I63" s="17" t="str">
        <f>+gastos!K56</f>
        <v>Intervenciones de bienes de interés cultural</v>
      </c>
      <c r="J63" s="17" t="str">
        <f>+gastos!L56</f>
        <v>GASTOS</v>
      </c>
      <c r="K63" s="17" t="str">
        <f>+gastos!M56</f>
        <v>Intervenciones de bienes de interes cultural</v>
      </c>
      <c r="L63" s="17">
        <f>+gastos!N56</f>
        <v>8039</v>
      </c>
      <c r="M63" s="17">
        <f>+gastos!O56</f>
        <v>118</v>
      </c>
      <c r="N63" s="17">
        <f>+gastos!Q56</f>
        <v>0</v>
      </c>
      <c r="O63" s="17">
        <f>+gastos!W56</f>
        <v>0</v>
      </c>
      <c r="P63" s="17">
        <f t="shared" si="16"/>
        <v>118</v>
      </c>
      <c r="Q63" s="17">
        <f t="shared" si="17"/>
        <v>0</v>
      </c>
      <c r="R63" s="17" t="e">
        <f t="shared" si="18"/>
        <v>#VALUE!</v>
      </c>
      <c r="S63" s="18" t="e">
        <f t="shared" si="6"/>
        <v>#VALUE!</v>
      </c>
      <c r="T63" s="47" t="e">
        <f t="shared" si="7"/>
        <v>#VALUE!</v>
      </c>
      <c r="U63" s="17">
        <f>+gastos!AD56</f>
        <v>0</v>
      </c>
    </row>
    <row r="64" spans="1:21" x14ac:dyDescent="0.25">
      <c r="A64" s="20" t="s">
        <v>121</v>
      </c>
      <c r="B64" s="20" t="s">
        <v>240</v>
      </c>
      <c r="C64" s="20">
        <v>54</v>
      </c>
      <c r="D64" s="20" t="s">
        <v>139</v>
      </c>
      <c r="E64" s="16" t="s">
        <v>342</v>
      </c>
      <c r="F64" s="17">
        <v>0</v>
      </c>
      <c r="G64" s="17" t="str">
        <f>+gastos!I57</f>
        <v>FortInfraestrCultural  </v>
      </c>
      <c r="H64" s="17" t="str">
        <f>+gastos!J57</f>
        <v>Mejoramiento "adecuación y/o mantenimiento de las infraestructuras culturales"  Antioquia(900053)</v>
      </c>
      <c r="I64" s="17" t="str">
        <f>+gastos!K57</f>
        <v>Adecuación de infraestructura</v>
      </c>
      <c r="J64" s="17" t="str">
        <f>+gastos!L57</f>
        <v>GASTOS</v>
      </c>
      <c r="K64" s="17" t="str">
        <f>+gastos!M57</f>
        <v>Adecuación de infraestructura</v>
      </c>
      <c r="L64" s="17">
        <f>+gastos!N57</f>
        <v>7920</v>
      </c>
      <c r="M64" s="17">
        <f>+gastos!O57</f>
        <v>28</v>
      </c>
      <c r="N64" s="17">
        <f>+gastos!Q57</f>
        <v>54000000</v>
      </c>
      <c r="O64" s="17">
        <f>+gastos!W57</f>
        <v>53618275</v>
      </c>
      <c r="P64" s="17">
        <f t="shared" si="16"/>
        <v>-53999972</v>
      </c>
      <c r="Q64" s="17">
        <f t="shared" si="17"/>
        <v>381725</v>
      </c>
      <c r="R64" s="17" t="e">
        <f t="shared" si="18"/>
        <v>#VALUE!</v>
      </c>
      <c r="S64" s="18" t="e">
        <f t="shared" si="6"/>
        <v>#VALUE!</v>
      </c>
      <c r="T64" s="47" t="e">
        <f t="shared" si="7"/>
        <v>#VALUE!</v>
      </c>
      <c r="U64" s="17">
        <f>+gastos!AD57</f>
        <v>0</v>
      </c>
    </row>
    <row r="65" spans="1:21" x14ac:dyDescent="0.25">
      <c r="A65" s="20" t="s">
        <v>107</v>
      </c>
      <c r="B65" s="20" t="s">
        <v>239</v>
      </c>
      <c r="C65" s="20">
        <v>56</v>
      </c>
      <c r="D65" s="20" t="s">
        <v>140</v>
      </c>
      <c r="E65" s="16" t="s">
        <v>343</v>
      </c>
      <c r="F65" s="17">
        <v>0</v>
      </c>
      <c r="G65" s="17" t="str">
        <f>+gastos!I59</f>
        <v>FortInfraestrCultural  </v>
      </c>
      <c r="H65" s="17" t="str">
        <f>+gastos!J59</f>
        <v>Integración tecnológica para el aseguramiento de la calidad  Antioquia(900066)</v>
      </c>
      <c r="I65" s="17" t="str">
        <f>+gastos!K59</f>
        <v>Fortalecer la plataforma tecnológica</v>
      </c>
      <c r="J65" s="17" t="str">
        <f>+gastos!L59</f>
        <v>GASTOS</v>
      </c>
      <c r="K65" s="17" t="str">
        <f>+gastos!M59</f>
        <v>Fortalecer la plataforma tecnológica</v>
      </c>
      <c r="L65" s="17">
        <f>+gastos!N59</f>
        <v>7922</v>
      </c>
      <c r="M65" s="17">
        <f>+gastos!O59</f>
        <v>30</v>
      </c>
      <c r="N65" s="17">
        <f>+gastos!Q59</f>
        <v>200000000</v>
      </c>
      <c r="O65" s="17">
        <f>+gastos!W59</f>
        <v>518511745</v>
      </c>
      <c r="P65" s="17">
        <f t="shared" si="16"/>
        <v>-199999970</v>
      </c>
      <c r="Q65" s="17">
        <f t="shared" si="17"/>
        <v>-318511745</v>
      </c>
      <c r="R65" s="17" t="e">
        <f t="shared" si="18"/>
        <v>#VALUE!</v>
      </c>
      <c r="S65" s="18" t="e">
        <f t="shared" si="6"/>
        <v>#VALUE!</v>
      </c>
      <c r="T65" s="47" t="e">
        <f t="shared" si="7"/>
        <v>#VALUE!</v>
      </c>
      <c r="U65" s="17">
        <f>+gastos!AD59</f>
        <v>0</v>
      </c>
    </row>
    <row r="66" spans="1:21" x14ac:dyDescent="0.25">
      <c r="A66" s="20" t="s">
        <v>119</v>
      </c>
      <c r="B66" s="20" t="s">
        <v>242</v>
      </c>
      <c r="C66" s="20">
        <v>57</v>
      </c>
      <c r="D66" s="20" t="s">
        <v>141</v>
      </c>
      <c r="E66" s="16" t="s">
        <v>344</v>
      </c>
      <c r="F66" s="17">
        <v>0</v>
      </c>
      <c r="G66" s="17" t="str">
        <f>+gastos!I60</f>
        <v>FmtoGestiónCulturalTerrit</v>
      </c>
      <c r="H66" s="17" t="str">
        <f>+gastos!J60</f>
        <v>Dotación cultural y artística  Antioquia"(900064)</v>
      </c>
      <c r="I66" s="17" t="str">
        <f>+gastos!K60</f>
        <v>Diagnóstico, adquisición y entrega de instrumentos musicales</v>
      </c>
      <c r="J66" s="17" t="str">
        <f>+gastos!L60</f>
        <v>GASTOS</v>
      </c>
      <c r="K66" s="17" t="str">
        <f>+gastos!M60</f>
        <v>Diagnóstico, adquisición y entrega de instrumentos musicales</v>
      </c>
      <c r="L66" s="17">
        <f>+gastos!N60</f>
        <v>7923</v>
      </c>
      <c r="M66" s="17">
        <f>+gastos!O60</f>
        <v>31</v>
      </c>
      <c r="N66" s="17">
        <f>+gastos!Q60</f>
        <v>80000000</v>
      </c>
      <c r="O66" s="17">
        <f>+gastos!W60</f>
        <v>156300000</v>
      </c>
      <c r="P66" s="17">
        <f t="shared" si="16"/>
        <v>-79999969</v>
      </c>
      <c r="Q66" s="17">
        <f t="shared" si="17"/>
        <v>-76300000</v>
      </c>
      <c r="R66" s="17" t="e">
        <f t="shared" si="18"/>
        <v>#VALUE!</v>
      </c>
      <c r="S66" s="18" t="e">
        <f t="shared" si="6"/>
        <v>#VALUE!</v>
      </c>
      <c r="T66" s="47" t="e">
        <f t="shared" si="7"/>
        <v>#VALUE!</v>
      </c>
      <c r="U66" s="17">
        <f>+gastos!AD60</f>
        <v>0</v>
      </c>
    </row>
    <row r="67" spans="1:21" x14ac:dyDescent="0.25">
      <c r="A67" s="22" t="s">
        <v>123</v>
      </c>
      <c r="B67" s="22"/>
      <c r="C67" s="22"/>
      <c r="D67" s="22"/>
      <c r="E67" s="22"/>
      <c r="F67" s="14">
        <v>192000000</v>
      </c>
      <c r="G67" s="14">
        <f t="shared" ref="G67:R67" si="19">SUM(G68:G70)</f>
        <v>0</v>
      </c>
      <c r="H67" s="14">
        <f t="shared" si="19"/>
        <v>0</v>
      </c>
      <c r="I67" s="14">
        <f t="shared" si="19"/>
        <v>0</v>
      </c>
      <c r="J67" s="14">
        <f t="shared" si="19"/>
        <v>0</v>
      </c>
      <c r="K67" s="14">
        <f>SUM(K68:K70)</f>
        <v>0</v>
      </c>
      <c r="L67" s="14">
        <f t="shared" si="19"/>
        <v>23919</v>
      </c>
      <c r="M67" s="14">
        <f t="shared" si="19"/>
        <v>214</v>
      </c>
      <c r="N67" s="14">
        <f t="shared" si="19"/>
        <v>54000000</v>
      </c>
      <c r="O67" s="14">
        <f t="shared" si="19"/>
        <v>54000000</v>
      </c>
      <c r="P67" s="14">
        <f t="shared" si="19"/>
        <v>-53999786</v>
      </c>
      <c r="Q67" s="14">
        <f>SUM(Q68:Q70)</f>
        <v>0</v>
      </c>
      <c r="R67" s="14" t="e">
        <f t="shared" si="19"/>
        <v>#VALUE!</v>
      </c>
      <c r="S67" s="15" t="e">
        <f>+M67/K67</f>
        <v>#DIV/0!</v>
      </c>
      <c r="T67" s="15" t="e">
        <f>+N67/K67</f>
        <v>#DIV/0!</v>
      </c>
      <c r="U67" s="14">
        <f>SUM(U68:U70)</f>
        <v>0</v>
      </c>
    </row>
    <row r="68" spans="1:21" x14ac:dyDescent="0.25">
      <c r="A68" s="16" t="s">
        <v>124</v>
      </c>
      <c r="B68" s="16" t="s">
        <v>345</v>
      </c>
      <c r="C68" s="16">
        <v>43</v>
      </c>
      <c r="D68" s="16" t="s">
        <v>125</v>
      </c>
      <c r="E68" s="16" t="s">
        <v>168</v>
      </c>
      <c r="F68" s="17">
        <v>180000000</v>
      </c>
      <c r="G68" s="17" t="str">
        <f>+gastos!I44</f>
        <v>EstímProcProy&amp;ActivCultur</v>
      </c>
      <c r="H68" s="17" t="str">
        <f>+gastos!J44</f>
        <v>Formación artística y cultural  Antioquia(900063)</v>
      </c>
      <c r="I68" s="17" t="str">
        <f>+gastos!K44</f>
        <v xml:space="preserve">Emprendedores formados en temas de industrias creativas y /o economia naranja (Ord 42) </v>
      </c>
      <c r="J68" s="17" t="str">
        <f>+gastos!L44</f>
        <v>GASTOS</v>
      </c>
      <c r="K68" s="17" t="str">
        <f>+gastos!M44</f>
        <v xml:space="preserve">Emprendedores formados en temas de industrias creativas y /o economia naranja (Ord 42) </v>
      </c>
      <c r="L68" s="17">
        <f>+gastos!N44</f>
        <v>7994</v>
      </c>
      <c r="M68" s="17">
        <f>+gastos!O44</f>
        <v>89</v>
      </c>
      <c r="N68" s="17">
        <f>+gastos!Q44</f>
        <v>0</v>
      </c>
      <c r="O68" s="17">
        <f>+gastos!W44</f>
        <v>0</v>
      </c>
      <c r="P68" s="17">
        <f t="shared" ref="P68:Q70" si="20">M68-N68</f>
        <v>89</v>
      </c>
      <c r="Q68" s="17">
        <f t="shared" si="20"/>
        <v>0</v>
      </c>
      <c r="R68" s="17" t="e">
        <f>K68-M68</f>
        <v>#VALUE!</v>
      </c>
      <c r="S68" s="18">
        <f>+M68/L68</f>
        <v>1.1133350012509383E-2</v>
      </c>
      <c r="T68" s="47">
        <f>+N68/L68</f>
        <v>0</v>
      </c>
      <c r="U68" s="17">
        <f>+gastos!AD44</f>
        <v>0</v>
      </c>
    </row>
    <row r="69" spans="1:21" x14ac:dyDescent="0.25">
      <c r="A69" s="16" t="s">
        <v>126</v>
      </c>
      <c r="B69" s="16" t="s">
        <v>346</v>
      </c>
      <c r="C69" s="16">
        <v>44</v>
      </c>
      <c r="D69" s="16" t="s">
        <v>127</v>
      </c>
      <c r="E69" s="16" t="s">
        <v>168</v>
      </c>
      <c r="F69" s="17">
        <v>12000000</v>
      </c>
      <c r="G69" s="17" t="str">
        <f>+gastos!I45</f>
        <v>FormDivulPatrimCultural</v>
      </c>
      <c r="H69" s="17" t="str">
        <f>+gastos!J45</f>
        <v>Conservación "apropiación y divulgación del patrimonio cultural"  Antioquia(900056)</v>
      </c>
      <c r="I69" s="17" t="str">
        <f>+gastos!K45</f>
        <v xml:space="preserve">Mantenimientos y adecuaciones al Palacio de la Cultura </v>
      </c>
      <c r="J69" s="17" t="str">
        <f>+gastos!L45</f>
        <v>GASTOS</v>
      </c>
      <c r="K69" s="17" t="str">
        <f>+gastos!M45</f>
        <v xml:space="preserve">Mantenimientos y adecuaciones al Palacio de la Cultura </v>
      </c>
      <c r="L69" s="17">
        <f>+gastos!N45</f>
        <v>8004</v>
      </c>
      <c r="M69" s="17">
        <f>+gastos!O45</f>
        <v>96</v>
      </c>
      <c r="N69" s="17">
        <f>+gastos!Q45</f>
        <v>0</v>
      </c>
      <c r="O69" s="17">
        <f>+gastos!W45</f>
        <v>0</v>
      </c>
      <c r="P69" s="17">
        <f t="shared" si="20"/>
        <v>96</v>
      </c>
      <c r="Q69" s="17">
        <f t="shared" si="20"/>
        <v>0</v>
      </c>
      <c r="R69" s="17" t="e">
        <f>K69-M69</f>
        <v>#VALUE!</v>
      </c>
      <c r="S69" s="18">
        <f>+M69/L69</f>
        <v>1.1994002998500749E-2</v>
      </c>
      <c r="T69" s="47">
        <f>+N69/L69</f>
        <v>0</v>
      </c>
      <c r="U69" s="17">
        <f>+gastos!AD45</f>
        <v>0</v>
      </c>
    </row>
    <row r="70" spans="1:21" x14ac:dyDescent="0.25">
      <c r="A70" s="16" t="s">
        <v>124</v>
      </c>
      <c r="B70" s="16" t="s">
        <v>345</v>
      </c>
      <c r="C70" s="16">
        <v>55</v>
      </c>
      <c r="D70" s="16" t="s">
        <v>347</v>
      </c>
      <c r="E70" s="16" t="s">
        <v>348</v>
      </c>
      <c r="F70" s="17">
        <v>0</v>
      </c>
      <c r="G70" s="17" t="str">
        <f>+gastos!I58</f>
        <v>FortInfraestrCultural  </v>
      </c>
      <c r="H70" s="17" t="str">
        <f>+gastos!J58</f>
        <v>Mejoramiento "adecuación y/o mantenimiento de las infraestructuras culturales"  Antioquia(900053)</v>
      </c>
      <c r="I70" s="17" t="str">
        <f>+gastos!K58</f>
        <v>Mantenimiento de Infraestructura</v>
      </c>
      <c r="J70" s="17" t="str">
        <f>+gastos!L58</f>
        <v>GASTOS</v>
      </c>
      <c r="K70" s="17" t="str">
        <f>+gastos!M58</f>
        <v>Mantenimiento de Infraestructura</v>
      </c>
      <c r="L70" s="17">
        <f>+gastos!N58</f>
        <v>7921</v>
      </c>
      <c r="M70" s="17">
        <f>+gastos!O58</f>
        <v>29</v>
      </c>
      <c r="N70" s="17">
        <f>+gastos!Q58</f>
        <v>54000000</v>
      </c>
      <c r="O70" s="17">
        <f>+gastos!W58</f>
        <v>54000000</v>
      </c>
      <c r="P70" s="17">
        <f t="shared" si="20"/>
        <v>-53999971</v>
      </c>
      <c r="Q70" s="17">
        <f t="shared" si="20"/>
        <v>0</v>
      </c>
      <c r="R70" s="17" t="e">
        <f>K70-M70</f>
        <v>#VALUE!</v>
      </c>
      <c r="S70" s="18">
        <f>+M70/L70</f>
        <v>3.6611538947102637E-3</v>
      </c>
      <c r="T70" s="47">
        <v>0</v>
      </c>
      <c r="U70" s="17">
        <f>+gastos!AD58</f>
        <v>0</v>
      </c>
    </row>
  </sheetData>
  <pageMargins left="0.7" right="0.7" top="0.75" bottom="0.75" header="0.3" footer="0.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0"/>
  <sheetViews>
    <sheetView workbookViewId="0">
      <selection activeCell="K5" sqref="K5"/>
    </sheetView>
  </sheetViews>
  <sheetFormatPr baseColWidth="10" defaultRowHeight="13.2" x14ac:dyDescent="0.25"/>
  <cols>
    <col min="2" max="11" width="15.44140625" customWidth="1"/>
  </cols>
  <sheetData>
    <row r="1" spans="1:10" ht="24" x14ac:dyDescent="0.25">
      <c r="A1" s="1" t="s">
        <v>143</v>
      </c>
      <c r="B1" s="2" t="s">
        <v>153</v>
      </c>
      <c r="C1" s="2" t="s">
        <v>154</v>
      </c>
      <c r="D1" s="2" t="s">
        <v>155</v>
      </c>
      <c r="E1" s="1" t="s">
        <v>156</v>
      </c>
      <c r="F1" s="1" t="s">
        <v>157</v>
      </c>
      <c r="G1" s="1" t="s">
        <v>332</v>
      </c>
      <c r="H1" s="1" t="s">
        <v>333</v>
      </c>
      <c r="I1" s="2" t="s">
        <v>158</v>
      </c>
      <c r="J1" s="3" t="s">
        <v>223</v>
      </c>
    </row>
    <row r="2" spans="1:10" ht="24" x14ac:dyDescent="0.25">
      <c r="A2" s="49" t="s">
        <v>165</v>
      </c>
      <c r="B2" s="1">
        <f t="shared" ref="B2:I2" si="0">+B3+B43</f>
        <v>0</v>
      </c>
      <c r="C2" s="1">
        <f t="shared" si="0"/>
        <v>477380</v>
      </c>
      <c r="D2" s="1">
        <f t="shared" si="0"/>
        <v>3296</v>
      </c>
      <c r="E2" s="1">
        <f t="shared" si="0"/>
        <v>6728085592</v>
      </c>
      <c r="F2" s="1">
        <f t="shared" si="0"/>
        <v>11196485139</v>
      </c>
      <c r="G2" s="1">
        <f t="shared" si="0"/>
        <v>-6728082296</v>
      </c>
      <c r="H2" s="1">
        <f t="shared" si="0"/>
        <v>-4468399547</v>
      </c>
      <c r="I2" s="1" t="e">
        <f t="shared" si="0"/>
        <v>#VALUE!</v>
      </c>
      <c r="J2" s="3" t="e">
        <f>+D2/B2</f>
        <v>#DIV/0!</v>
      </c>
    </row>
    <row r="3" spans="1:10" x14ac:dyDescent="0.25">
      <c r="A3" s="6" t="s">
        <v>166</v>
      </c>
      <c r="B3" s="9">
        <f t="shared" ref="B3:I3" si="1">+B4+B22+B38+B41</f>
        <v>0</v>
      </c>
      <c r="C3" s="9">
        <f t="shared" si="1"/>
        <v>278388</v>
      </c>
      <c r="D3" s="9">
        <f t="shared" si="1"/>
        <v>1831</v>
      </c>
      <c r="E3" s="9">
        <f t="shared" si="1"/>
        <v>2265698388</v>
      </c>
      <c r="F3" s="9">
        <f t="shared" si="1"/>
        <v>4485319570</v>
      </c>
      <c r="G3" s="9">
        <f t="shared" si="1"/>
        <v>-2265696557</v>
      </c>
      <c r="H3" s="9">
        <f t="shared" si="1"/>
        <v>-2219621182</v>
      </c>
      <c r="I3" s="9" t="e">
        <f t="shared" si="1"/>
        <v>#VALUE!</v>
      </c>
      <c r="J3" s="10" t="e">
        <f>+D3/B3</f>
        <v>#DIV/0!</v>
      </c>
    </row>
    <row r="4" spans="1:10" x14ac:dyDescent="0.25">
      <c r="A4" s="11" t="s">
        <v>35</v>
      </c>
      <c r="B4" s="14">
        <f>SUM(B5:B21)</f>
        <v>0</v>
      </c>
      <c r="C4" s="14">
        <f t="shared" ref="C4:I4" si="2">SUM(C5:C21)</f>
        <v>134649</v>
      </c>
      <c r="D4" s="14">
        <f t="shared" si="2"/>
        <v>418</v>
      </c>
      <c r="E4" s="14">
        <f t="shared" si="2"/>
        <v>1714594696</v>
      </c>
      <c r="F4" s="14">
        <f t="shared" si="2"/>
        <v>1579344360</v>
      </c>
      <c r="G4" s="14">
        <f t="shared" si="2"/>
        <v>-1714594278</v>
      </c>
      <c r="H4" s="14">
        <f t="shared" si="2"/>
        <v>135250336</v>
      </c>
      <c r="I4" s="14" t="e">
        <f t="shared" si="2"/>
        <v>#VALUE!</v>
      </c>
      <c r="J4" s="15" t="e">
        <f>+D4/B4</f>
        <v>#DIV/0!</v>
      </c>
    </row>
    <row r="5" spans="1:10" x14ac:dyDescent="0.25">
      <c r="A5" s="16" t="s">
        <v>36</v>
      </c>
      <c r="B5" s="45" t="str">
        <f>+gastos!M2</f>
        <v>Programación propia</v>
      </c>
      <c r="C5" s="45">
        <f>+gastos!N2</f>
        <v>7893</v>
      </c>
      <c r="D5" s="45">
        <f>+gastos!O2</f>
        <v>1</v>
      </c>
      <c r="E5" s="17">
        <f>+gastos!Q2</f>
        <v>125000000</v>
      </c>
      <c r="F5" s="17">
        <f>+gastos!W2</f>
        <v>124427349</v>
      </c>
      <c r="G5" s="17">
        <f>D5-E5</f>
        <v>-124999999</v>
      </c>
      <c r="H5" s="17">
        <f>E5-F5</f>
        <v>572651</v>
      </c>
      <c r="I5" s="17" t="e">
        <f>B5-D5</f>
        <v>#VALUE!</v>
      </c>
      <c r="J5" s="18" t="e">
        <f>+D5/B5</f>
        <v>#VALUE!</v>
      </c>
    </row>
    <row r="6" spans="1:10" x14ac:dyDescent="0.25">
      <c r="A6" s="16" t="s">
        <v>38</v>
      </c>
      <c r="B6" s="45" t="str">
        <f>+gastos!M3</f>
        <v>Iniciativas culturales municipales</v>
      </c>
      <c r="C6" s="45">
        <f>+gastos!N3</f>
        <v>7894</v>
      </c>
      <c r="D6" s="45">
        <f>+gastos!O3</f>
        <v>2</v>
      </c>
      <c r="E6" s="17">
        <f>+gastos!Q3</f>
        <v>155000000</v>
      </c>
      <c r="F6" s="17">
        <f>+gastos!W3</f>
        <v>0</v>
      </c>
      <c r="G6" s="17">
        <f t="shared" ref="G6:H21" si="3">D6-E6</f>
        <v>-154999998</v>
      </c>
      <c r="H6" s="17">
        <f t="shared" si="3"/>
        <v>155000000</v>
      </c>
      <c r="I6" s="17" t="e">
        <f t="shared" ref="I6:I21" si="4">B6-D6</f>
        <v>#VALUE!</v>
      </c>
      <c r="J6" s="18" t="e">
        <f t="shared" ref="J6:J66" si="5">+D6/B6</f>
        <v>#VALUE!</v>
      </c>
    </row>
    <row r="7" spans="1:10" x14ac:dyDescent="0.25">
      <c r="A7" s="16" t="s">
        <v>40</v>
      </c>
      <c r="B7" s="45" t="str">
        <f>+gastos!M4</f>
        <v>Apoyo a Festivales</v>
      </c>
      <c r="C7" s="45">
        <f>+gastos!N4</f>
        <v>7895</v>
      </c>
      <c r="D7" s="45">
        <f>+gastos!O4</f>
        <v>3</v>
      </c>
      <c r="E7" s="17">
        <f>+gastos!Q4</f>
        <v>175376928</v>
      </c>
      <c r="F7" s="17">
        <f>+gastos!W4</f>
        <v>163262720</v>
      </c>
      <c r="G7" s="17">
        <f t="shared" si="3"/>
        <v>-175376925</v>
      </c>
      <c r="H7" s="17">
        <f t="shared" si="3"/>
        <v>12114208</v>
      </c>
      <c r="I7" s="17" t="e">
        <f t="shared" si="4"/>
        <v>#VALUE!</v>
      </c>
      <c r="J7" s="18" t="e">
        <f t="shared" si="5"/>
        <v>#VALUE!</v>
      </c>
    </row>
    <row r="8" spans="1:10" x14ac:dyDescent="0.25">
      <c r="A8" s="16" t="s">
        <v>42</v>
      </c>
      <c r="B8" s="45" t="str">
        <f>+gastos!M5</f>
        <v>Procesos y/o actividades de fomento a la lectura</v>
      </c>
      <c r="C8" s="17">
        <f>+gastos!N5</f>
        <v>7896</v>
      </c>
      <c r="D8" s="45">
        <f>+gastos!O5</f>
        <v>4</v>
      </c>
      <c r="E8" s="17">
        <f>+gastos!Q5</f>
        <v>5000000</v>
      </c>
      <c r="F8" s="17">
        <f>+gastos!W5</f>
        <v>5000000</v>
      </c>
      <c r="G8" s="17">
        <f t="shared" si="3"/>
        <v>-4999996</v>
      </c>
      <c r="H8" s="17">
        <f t="shared" si="3"/>
        <v>0</v>
      </c>
      <c r="I8" s="17" t="e">
        <f t="shared" si="4"/>
        <v>#VALUE!</v>
      </c>
      <c r="J8" s="18" t="e">
        <f t="shared" si="5"/>
        <v>#VALUE!</v>
      </c>
    </row>
    <row r="9" spans="1:10" x14ac:dyDescent="0.25">
      <c r="A9" s="16" t="s">
        <v>44</v>
      </c>
      <c r="B9" s="45" t="str">
        <f>+gastos!M6</f>
        <v>Seguimiento a  iniciativas emprendedoras</v>
      </c>
      <c r="C9" s="17">
        <f>+gastos!N6</f>
        <v>7897</v>
      </c>
      <c r="D9" s="45">
        <f>+gastos!O6</f>
        <v>5</v>
      </c>
      <c r="E9" s="17">
        <f>+gastos!Q6</f>
        <v>5000000</v>
      </c>
      <c r="F9" s="17">
        <f>+gastos!W6</f>
        <v>0</v>
      </c>
      <c r="G9" s="17">
        <f t="shared" si="3"/>
        <v>-4999995</v>
      </c>
      <c r="H9" s="17">
        <f t="shared" si="3"/>
        <v>5000000</v>
      </c>
      <c r="I9" s="17" t="e">
        <f t="shared" si="4"/>
        <v>#VALUE!</v>
      </c>
      <c r="J9" s="18" t="e">
        <f t="shared" si="5"/>
        <v>#VALUE!</v>
      </c>
    </row>
    <row r="10" spans="1:10" x14ac:dyDescent="0.25">
      <c r="A10" s="19" t="s">
        <v>46</v>
      </c>
      <c r="B10" s="45" t="str">
        <f>+gastos!M7</f>
        <v>Publicaciones apoyadas por el ICPA (Ord 24)</v>
      </c>
      <c r="C10" s="45">
        <f>+gastos!N7</f>
        <v>7898</v>
      </c>
      <c r="D10" s="45">
        <f>+gastos!O7</f>
        <v>6</v>
      </c>
      <c r="E10" s="17">
        <f>+gastos!Q7</f>
        <v>100000000</v>
      </c>
      <c r="F10" s="17">
        <f>+gastos!W7</f>
        <v>96000000</v>
      </c>
      <c r="G10" s="17">
        <f t="shared" si="3"/>
        <v>-99999994</v>
      </c>
      <c r="H10" s="17">
        <f t="shared" si="3"/>
        <v>4000000</v>
      </c>
      <c r="I10" s="17" t="e">
        <f t="shared" si="4"/>
        <v>#VALUE!</v>
      </c>
      <c r="J10" s="18" t="e">
        <f t="shared" si="5"/>
        <v>#VALUE!</v>
      </c>
    </row>
    <row r="11" spans="1:10" x14ac:dyDescent="0.25">
      <c r="A11" s="16" t="s">
        <v>50</v>
      </c>
      <c r="B11" s="45" t="str">
        <f>+gastos!M8</f>
        <v>Procesos de circulación artística</v>
      </c>
      <c r="C11" s="17">
        <f>+gastos!N8</f>
        <v>8040</v>
      </c>
      <c r="D11" s="45">
        <f>+gastos!O8</f>
        <v>119</v>
      </c>
      <c r="E11" s="17">
        <f>+gastos!Q8</f>
        <v>0</v>
      </c>
      <c r="F11" s="17">
        <f>+gastos!W8</f>
        <v>90175504</v>
      </c>
      <c r="G11" s="17">
        <f t="shared" si="3"/>
        <v>119</v>
      </c>
      <c r="H11" s="17">
        <f t="shared" si="3"/>
        <v>-90175504</v>
      </c>
      <c r="I11" s="17" t="e">
        <f t="shared" si="4"/>
        <v>#VALUE!</v>
      </c>
      <c r="J11" s="18" t="e">
        <f t="shared" si="5"/>
        <v>#VALUE!</v>
      </c>
    </row>
    <row r="12" spans="1:10" x14ac:dyDescent="0.25">
      <c r="A12" s="16" t="s">
        <v>52</v>
      </c>
      <c r="B12" s="45" t="str">
        <f>+gastos!M9</f>
        <v>Convocatoria de bancos Jurados</v>
      </c>
      <c r="C12" s="17">
        <f>+gastos!N9</f>
        <v>7899</v>
      </c>
      <c r="D12" s="45">
        <f>+gastos!O9</f>
        <v>7</v>
      </c>
      <c r="E12" s="17">
        <f>+gastos!Q9</f>
        <v>195000000</v>
      </c>
      <c r="F12" s="17">
        <f>+gastos!W9</f>
        <v>192680000</v>
      </c>
      <c r="G12" s="17">
        <f t="shared" si="3"/>
        <v>-194999993</v>
      </c>
      <c r="H12" s="17">
        <f t="shared" si="3"/>
        <v>2320000</v>
      </c>
      <c r="I12" s="17" t="e">
        <f t="shared" si="4"/>
        <v>#VALUE!</v>
      </c>
      <c r="J12" s="18" t="e">
        <f t="shared" si="5"/>
        <v>#VALUE!</v>
      </c>
    </row>
    <row r="13" spans="1:10" x14ac:dyDescent="0.25">
      <c r="A13" s="16" t="s">
        <v>54</v>
      </c>
      <c r="B13" s="45" t="str">
        <f>+gastos!M10</f>
        <v>Acciones comunicacionales</v>
      </c>
      <c r="C13" s="17">
        <f>+gastos!N10</f>
        <v>7900</v>
      </c>
      <c r="D13" s="45">
        <f>+gastos!O10</f>
        <v>8</v>
      </c>
      <c r="E13" s="17">
        <f>+gastos!Q10</f>
        <v>5000000</v>
      </c>
      <c r="F13" s="17">
        <f>+gastos!W10</f>
        <v>105000000</v>
      </c>
      <c r="G13" s="17">
        <f t="shared" si="3"/>
        <v>-4999992</v>
      </c>
      <c r="H13" s="17">
        <f t="shared" si="3"/>
        <v>-100000000</v>
      </c>
      <c r="I13" s="17" t="e">
        <f t="shared" si="4"/>
        <v>#VALUE!</v>
      </c>
      <c r="J13" s="18" t="e">
        <f t="shared" si="5"/>
        <v>#VALUE!</v>
      </c>
    </row>
    <row r="14" spans="1:10" x14ac:dyDescent="0.25">
      <c r="A14" s="16" t="s">
        <v>56</v>
      </c>
      <c r="B14" s="45" t="str">
        <f>+gastos!M11</f>
        <v>Conceptualización, estructuración, definición y publicación de convocatorias públicas</v>
      </c>
      <c r="C14" s="17">
        <f>+gastos!N11</f>
        <v>7901</v>
      </c>
      <c r="D14" s="45">
        <f>+gastos!O11</f>
        <v>9</v>
      </c>
      <c r="E14" s="17">
        <f>+gastos!Q11</f>
        <v>330937618</v>
      </c>
      <c r="F14" s="17">
        <f>+gastos!W11</f>
        <v>250349798</v>
      </c>
      <c r="G14" s="17">
        <f t="shared" si="3"/>
        <v>-330937609</v>
      </c>
      <c r="H14" s="17">
        <f t="shared" si="3"/>
        <v>80587820</v>
      </c>
      <c r="I14" s="17" t="e">
        <f t="shared" si="4"/>
        <v>#VALUE!</v>
      </c>
      <c r="J14" s="18" t="e">
        <f t="shared" si="5"/>
        <v>#VALUE!</v>
      </c>
    </row>
    <row r="15" spans="1:10" x14ac:dyDescent="0.25">
      <c r="A15" s="16" t="s">
        <v>58</v>
      </c>
      <c r="B15" s="45" t="str">
        <f>+gastos!M12</f>
        <v>Convocatoria de Salas Concertadas</v>
      </c>
      <c r="C15" s="17">
        <f>+gastos!N12</f>
        <v>7981</v>
      </c>
      <c r="D15" s="45">
        <f>+gastos!O12</f>
        <v>80</v>
      </c>
      <c r="E15" s="17">
        <f>+gastos!Q12</f>
        <v>0</v>
      </c>
      <c r="F15" s="17">
        <f>+gastos!W12</f>
        <v>47284000</v>
      </c>
      <c r="G15" s="17">
        <f t="shared" si="3"/>
        <v>80</v>
      </c>
      <c r="H15" s="17">
        <f t="shared" si="3"/>
        <v>-47284000</v>
      </c>
      <c r="I15" s="17" t="e">
        <f t="shared" si="4"/>
        <v>#VALUE!</v>
      </c>
      <c r="J15" s="18" t="e">
        <f t="shared" si="5"/>
        <v>#VALUE!</v>
      </c>
    </row>
    <row r="16" spans="1:10" x14ac:dyDescent="0.25">
      <c r="A16" s="16" t="s">
        <v>60</v>
      </c>
      <c r="B16" s="45" t="str">
        <f>+gastos!M13</f>
        <v>Apoyo a Festivales</v>
      </c>
      <c r="C16" s="17">
        <f>+gastos!N13</f>
        <v>7902</v>
      </c>
      <c r="D16" s="45">
        <f>+gastos!O13</f>
        <v>10</v>
      </c>
      <c r="E16" s="17">
        <f>+gastos!Q13</f>
        <v>65997280</v>
      </c>
      <c r="F16" s="17">
        <f>+gastos!W13</f>
        <v>65997280</v>
      </c>
      <c r="G16" s="17">
        <f t="shared" si="3"/>
        <v>-65997270</v>
      </c>
      <c r="H16" s="17">
        <f t="shared" si="3"/>
        <v>0</v>
      </c>
      <c r="I16" s="17" t="e">
        <f t="shared" si="4"/>
        <v>#VALUE!</v>
      </c>
      <c r="J16" s="18" t="e">
        <f t="shared" si="5"/>
        <v>#VALUE!</v>
      </c>
    </row>
    <row r="17" spans="1:10" x14ac:dyDescent="0.25">
      <c r="A17" s="20" t="s">
        <v>62</v>
      </c>
      <c r="B17" s="45" t="str">
        <f>+gastos!M14</f>
        <v>Día del Tango - Circulación (Ord 53)</v>
      </c>
      <c r="C17" s="45">
        <f>+gastos!N14</f>
        <v>7903</v>
      </c>
      <c r="D17" s="45">
        <f>+gastos!O14</f>
        <v>11</v>
      </c>
      <c r="E17" s="17">
        <f>+gastos!Q14</f>
        <v>10000000</v>
      </c>
      <c r="F17" s="17">
        <f>+gastos!W14</f>
        <v>10000000</v>
      </c>
      <c r="G17" s="17">
        <f t="shared" si="3"/>
        <v>-9999989</v>
      </c>
      <c r="H17" s="17">
        <f t="shared" si="3"/>
        <v>0</v>
      </c>
      <c r="I17" s="17" t="e">
        <f t="shared" si="4"/>
        <v>#VALUE!</v>
      </c>
      <c r="J17" s="21" t="e">
        <f t="shared" si="5"/>
        <v>#VALUE!</v>
      </c>
    </row>
    <row r="18" spans="1:10" x14ac:dyDescent="0.25">
      <c r="A18" s="16" t="s">
        <v>64</v>
      </c>
      <c r="B18" s="45" t="str">
        <f>+gastos!M15</f>
        <v>Procesos de circulación artística</v>
      </c>
      <c r="C18" s="17">
        <f>+gastos!N15</f>
        <v>7904</v>
      </c>
      <c r="D18" s="45">
        <f>+gastos!O15</f>
        <v>12</v>
      </c>
      <c r="E18" s="17">
        <f>+gastos!Q15</f>
        <v>60000000</v>
      </c>
      <c r="F18" s="17">
        <f>+gastos!W15</f>
        <v>19998000</v>
      </c>
      <c r="G18" s="17">
        <f t="shared" si="3"/>
        <v>-59999988</v>
      </c>
      <c r="H18" s="17">
        <f t="shared" si="3"/>
        <v>40002000</v>
      </c>
      <c r="I18" s="17" t="e">
        <f t="shared" si="4"/>
        <v>#VALUE!</v>
      </c>
      <c r="J18" s="18" t="e">
        <f t="shared" si="5"/>
        <v>#VALUE!</v>
      </c>
    </row>
    <row r="19" spans="1:10" x14ac:dyDescent="0.25">
      <c r="A19" s="16" t="s">
        <v>66</v>
      </c>
      <c r="B19" s="45" t="str">
        <f>+gastos!M16</f>
        <v>Apoyo a la realización y participación en eventos culturales</v>
      </c>
      <c r="C19" s="17">
        <f>+gastos!N16</f>
        <v>7905</v>
      </c>
      <c r="D19" s="45">
        <f>+gastos!O16</f>
        <v>13</v>
      </c>
      <c r="E19" s="17">
        <f>+gastos!Q16</f>
        <v>209045154</v>
      </c>
      <c r="F19" s="17">
        <f>+gastos!W16</f>
        <v>175243509</v>
      </c>
      <c r="G19" s="17">
        <f t="shared" si="3"/>
        <v>-209045141</v>
      </c>
      <c r="H19" s="17">
        <f t="shared" si="3"/>
        <v>33801645</v>
      </c>
      <c r="I19" s="17" t="e">
        <f t="shared" si="4"/>
        <v>#VALUE!</v>
      </c>
      <c r="J19" s="18" t="e">
        <f t="shared" si="5"/>
        <v>#VALUE!</v>
      </c>
    </row>
    <row r="20" spans="1:10" x14ac:dyDescent="0.25">
      <c r="A20" s="16" t="s">
        <v>68</v>
      </c>
      <c r="B20" s="45" t="str">
        <f>+gastos!M17</f>
        <v>Circulación audiovisual y cinematografía -Circulación (Conv_ Ord 29)/10% de Ord 12</v>
      </c>
      <c r="C20" s="17">
        <f>+gastos!N17</f>
        <v>7906</v>
      </c>
      <c r="D20" s="45">
        <f>+gastos!O17</f>
        <v>14</v>
      </c>
      <c r="E20" s="17">
        <f>+gastos!Q17</f>
        <v>273237716</v>
      </c>
      <c r="F20" s="17">
        <f>+gastos!W17</f>
        <v>122811200</v>
      </c>
      <c r="G20" s="17">
        <f t="shared" si="3"/>
        <v>-273237702</v>
      </c>
      <c r="H20" s="17">
        <f t="shared" si="3"/>
        <v>150426516</v>
      </c>
      <c r="I20" s="17" t="e">
        <f t="shared" si="4"/>
        <v>#VALUE!</v>
      </c>
      <c r="J20" s="18" t="e">
        <f t="shared" si="5"/>
        <v>#VALUE!</v>
      </c>
    </row>
    <row r="21" spans="1:10" x14ac:dyDescent="0.25">
      <c r="A21" s="16" t="s">
        <v>70</v>
      </c>
      <c r="B21" s="45" t="str">
        <f>+gastos!M18</f>
        <v>Convocatoria de bancos Jurados</v>
      </c>
      <c r="C21" s="17">
        <f>+gastos!N18</f>
        <v>8035</v>
      </c>
      <c r="D21" s="45">
        <f>+gastos!O18</f>
        <v>114</v>
      </c>
      <c r="E21" s="17">
        <f>+gastos!Q18</f>
        <v>0</v>
      </c>
      <c r="F21" s="17">
        <f>+gastos!W18</f>
        <v>111115000</v>
      </c>
      <c r="G21" s="17">
        <f t="shared" si="3"/>
        <v>114</v>
      </c>
      <c r="H21" s="17">
        <f t="shared" si="3"/>
        <v>-111115000</v>
      </c>
      <c r="I21" s="17" t="e">
        <f t="shared" si="4"/>
        <v>#VALUE!</v>
      </c>
      <c r="J21" s="18" t="e">
        <f t="shared" si="5"/>
        <v>#VALUE!</v>
      </c>
    </row>
    <row r="22" spans="1:10" x14ac:dyDescent="0.25">
      <c r="A22" s="22" t="s">
        <v>72</v>
      </c>
      <c r="B22" s="14">
        <f>SUM(B23:B37)</f>
        <v>0</v>
      </c>
      <c r="C22" s="14">
        <f t="shared" ref="C22:I22" si="6">SUM(C23:C37)</f>
        <v>119786</v>
      </c>
      <c r="D22" s="14">
        <f t="shared" si="6"/>
        <v>1178</v>
      </c>
      <c r="E22" s="14">
        <f t="shared" si="6"/>
        <v>431103692</v>
      </c>
      <c r="F22" s="14">
        <f t="shared" si="6"/>
        <v>1763792873</v>
      </c>
      <c r="G22" s="14">
        <f t="shared" si="6"/>
        <v>-431102514</v>
      </c>
      <c r="H22" s="14">
        <f t="shared" si="6"/>
        <v>-1332689181</v>
      </c>
      <c r="I22" s="14" t="e">
        <f t="shared" si="6"/>
        <v>#VALUE!</v>
      </c>
      <c r="J22" s="15" t="e">
        <f>+D22/B22</f>
        <v>#DIV/0!</v>
      </c>
    </row>
    <row r="23" spans="1:10" x14ac:dyDescent="0.25">
      <c r="A23" s="16" t="s">
        <v>73</v>
      </c>
      <c r="B23" s="45" t="str">
        <f>+gastos!M19</f>
        <v>Conceptualización, estructuración, definición y publicación de convocatorias públicas</v>
      </c>
      <c r="C23" s="17">
        <f>+gastos!N19</f>
        <v>8016</v>
      </c>
      <c r="D23" s="45">
        <f>+gastos!O19</f>
        <v>101</v>
      </c>
      <c r="E23" s="17">
        <f>+gastos!Q19</f>
        <v>0</v>
      </c>
      <c r="F23" s="17">
        <f>+gastos!W19</f>
        <v>506171117</v>
      </c>
      <c r="G23" s="17">
        <f t="shared" ref="G23:H37" si="7">D23-E23</f>
        <v>101</v>
      </c>
      <c r="H23" s="17">
        <f t="shared" si="7"/>
        <v>-506171117</v>
      </c>
      <c r="I23" s="17" t="e">
        <f t="shared" ref="I23:I42" si="8">B23-D23</f>
        <v>#VALUE!</v>
      </c>
      <c r="J23" s="18" t="e">
        <f t="shared" si="5"/>
        <v>#VALUE!</v>
      </c>
    </row>
    <row r="24" spans="1:10" x14ac:dyDescent="0.25">
      <c r="A24" s="16" t="s">
        <v>75</v>
      </c>
      <c r="B24" s="45" t="str">
        <f>+gastos!M20</f>
        <v>Estimulos audiovisuales y cinematografía - creación (conv_ord 29)/ 10% de ord 12</v>
      </c>
      <c r="C24" s="17">
        <f>+gastos!N20</f>
        <v>7907</v>
      </c>
      <c r="D24" s="45">
        <f>+gastos!O20</f>
        <v>15</v>
      </c>
      <c r="E24" s="17">
        <f>+gastos!Q20</f>
        <v>20809429</v>
      </c>
      <c r="F24" s="17">
        <f>+gastos!W20</f>
        <v>20809429</v>
      </c>
      <c r="G24" s="17">
        <f t="shared" si="7"/>
        <v>-20809414</v>
      </c>
      <c r="H24" s="17">
        <f t="shared" si="7"/>
        <v>0</v>
      </c>
      <c r="I24" s="17" t="e">
        <f t="shared" si="8"/>
        <v>#VALUE!</v>
      </c>
      <c r="J24" s="18" t="e">
        <f t="shared" si="5"/>
        <v>#VALUE!</v>
      </c>
    </row>
    <row r="25" spans="1:10" x14ac:dyDescent="0.25">
      <c r="A25" s="16" t="s">
        <v>77</v>
      </c>
      <c r="B25" s="45" t="str">
        <f>+gastos!M21</f>
        <v>Estimulos día del Tango - creación (Ord 53)</v>
      </c>
      <c r="C25" s="17">
        <f>+gastos!N21</f>
        <v>7908</v>
      </c>
      <c r="D25" s="45">
        <f>+gastos!O21</f>
        <v>16</v>
      </c>
      <c r="E25" s="17">
        <f>+gastos!Q21</f>
        <v>10294263</v>
      </c>
      <c r="F25" s="17">
        <f>+gastos!W21</f>
        <v>10000000</v>
      </c>
      <c r="G25" s="17">
        <f t="shared" si="7"/>
        <v>-10294247</v>
      </c>
      <c r="H25" s="17">
        <f t="shared" si="7"/>
        <v>294263</v>
      </c>
      <c r="I25" s="17" t="e">
        <f t="shared" si="8"/>
        <v>#VALUE!</v>
      </c>
      <c r="J25" s="18" t="e">
        <f t="shared" si="5"/>
        <v>#VALUE!</v>
      </c>
    </row>
    <row r="26" spans="1:10" x14ac:dyDescent="0.25">
      <c r="A26" s="16" t="s">
        <v>79</v>
      </c>
      <c r="B26" s="45" t="str">
        <f>+gastos!M22</f>
        <v>Convocatoria de Salas Concertadas</v>
      </c>
      <c r="C26" s="17">
        <f>+gastos!N22</f>
        <v>7909</v>
      </c>
      <c r="D26" s="45">
        <f>+gastos!O22</f>
        <v>17</v>
      </c>
      <c r="E26" s="17">
        <f>+gastos!Q22</f>
        <v>400000000</v>
      </c>
      <c r="F26" s="17">
        <f>+gastos!W22</f>
        <v>400000000</v>
      </c>
      <c r="G26" s="17">
        <f t="shared" si="7"/>
        <v>-399999983</v>
      </c>
      <c r="H26" s="17">
        <f t="shared" si="7"/>
        <v>0</v>
      </c>
      <c r="I26" s="17" t="e">
        <f t="shared" si="8"/>
        <v>#VALUE!</v>
      </c>
      <c r="J26" s="18" t="e">
        <f t="shared" si="5"/>
        <v>#VALUE!</v>
      </c>
    </row>
    <row r="27" spans="1:10" x14ac:dyDescent="0.25">
      <c r="A27" s="16" t="s">
        <v>81</v>
      </c>
      <c r="B27" s="45" t="str">
        <f>+gastos!M23</f>
        <v>Conceptualización, estructuración, definición y publicación de convocatorias públicas</v>
      </c>
      <c r="C27" s="17">
        <f>+gastos!N23</f>
        <v>8027</v>
      </c>
      <c r="D27" s="45">
        <f>+gastos!O23</f>
        <v>106</v>
      </c>
      <c r="E27" s="17">
        <f>+gastos!Q23</f>
        <v>0</v>
      </c>
      <c r="F27" s="17">
        <f>+gastos!W23</f>
        <v>24750000</v>
      </c>
      <c r="G27" s="17">
        <f t="shared" si="7"/>
        <v>106</v>
      </c>
      <c r="H27" s="17">
        <f t="shared" si="7"/>
        <v>-24750000</v>
      </c>
      <c r="I27" s="17" t="e">
        <f t="shared" si="8"/>
        <v>#VALUE!</v>
      </c>
      <c r="J27" s="18" t="e">
        <f t="shared" si="5"/>
        <v>#VALUE!</v>
      </c>
    </row>
    <row r="28" spans="1:10" x14ac:dyDescent="0.25">
      <c r="A28" s="16" t="s">
        <v>83</v>
      </c>
      <c r="B28" s="45" t="str">
        <f>+gastos!M24</f>
        <v>Conceptualización, estructuración, definición y publicación de convocatorias públicas</v>
      </c>
      <c r="C28" s="17">
        <f>+gastos!N24</f>
        <v>8028</v>
      </c>
      <c r="D28" s="45">
        <f>+gastos!O24</f>
        <v>107</v>
      </c>
      <c r="E28" s="17">
        <f>+gastos!Q24</f>
        <v>0</v>
      </c>
      <c r="F28" s="17">
        <f>+gastos!W24</f>
        <v>45540000</v>
      </c>
      <c r="G28" s="17">
        <f t="shared" si="7"/>
        <v>107</v>
      </c>
      <c r="H28" s="17">
        <f t="shared" si="7"/>
        <v>-45540000</v>
      </c>
      <c r="I28" s="17" t="e">
        <f t="shared" si="8"/>
        <v>#VALUE!</v>
      </c>
      <c r="J28" s="18" t="e">
        <f t="shared" si="5"/>
        <v>#VALUE!</v>
      </c>
    </row>
    <row r="29" spans="1:10" x14ac:dyDescent="0.25">
      <c r="A29" s="16" t="s">
        <v>85</v>
      </c>
      <c r="B29" s="45" t="str">
        <f>+gastos!M25</f>
        <v>Programación propia</v>
      </c>
      <c r="C29" s="17">
        <f>+gastos!N25</f>
        <v>8017</v>
      </c>
      <c r="D29" s="45">
        <f>+gastos!O25</f>
        <v>102</v>
      </c>
      <c r="E29" s="17">
        <f>+gastos!Q25</f>
        <v>0</v>
      </c>
      <c r="F29" s="17">
        <f>+gastos!W25</f>
        <v>38711897</v>
      </c>
      <c r="G29" s="17">
        <f t="shared" si="7"/>
        <v>102</v>
      </c>
      <c r="H29" s="17">
        <f t="shared" si="7"/>
        <v>-38711897</v>
      </c>
      <c r="I29" s="17" t="e">
        <f t="shared" si="8"/>
        <v>#VALUE!</v>
      </c>
      <c r="J29" s="18" t="e">
        <f t="shared" si="5"/>
        <v>#VALUE!</v>
      </c>
    </row>
    <row r="30" spans="1:10" x14ac:dyDescent="0.25">
      <c r="A30" s="16" t="s">
        <v>87</v>
      </c>
      <c r="B30" s="45" t="str">
        <f>+gastos!M26</f>
        <v>Procesos y/o actividades de fomento a la lectura</v>
      </c>
      <c r="C30" s="17">
        <f>+gastos!N26</f>
        <v>7987</v>
      </c>
      <c r="D30" s="45">
        <f>+gastos!O26</f>
        <v>82</v>
      </c>
      <c r="E30" s="17">
        <f>+gastos!Q26</f>
        <v>0</v>
      </c>
      <c r="F30" s="17">
        <f>+gastos!W26</f>
        <v>109592847</v>
      </c>
      <c r="G30" s="17">
        <f t="shared" si="7"/>
        <v>82</v>
      </c>
      <c r="H30" s="17">
        <f t="shared" si="7"/>
        <v>-109592847</v>
      </c>
      <c r="I30" s="17" t="e">
        <f t="shared" si="8"/>
        <v>#VALUE!</v>
      </c>
      <c r="J30" s="18" t="e">
        <f t="shared" si="5"/>
        <v>#VALUE!</v>
      </c>
    </row>
    <row r="31" spans="1:10" x14ac:dyDescent="0.25">
      <c r="A31" s="16" t="s">
        <v>89</v>
      </c>
      <c r="B31" s="45" t="str">
        <f>+gastos!M27</f>
        <v>Seguimiento a  iniciativas emprendedoras</v>
      </c>
      <c r="C31" s="17">
        <f>+gastos!N27</f>
        <v>8018</v>
      </c>
      <c r="D31" s="45">
        <f>+gastos!O27</f>
        <v>103</v>
      </c>
      <c r="E31" s="17">
        <f>+gastos!Q27</f>
        <v>0</v>
      </c>
      <c r="F31" s="17">
        <f>+gastos!W27</f>
        <v>30000000</v>
      </c>
      <c r="G31" s="17">
        <f t="shared" si="7"/>
        <v>103</v>
      </c>
      <c r="H31" s="17">
        <f t="shared" si="7"/>
        <v>-30000000</v>
      </c>
      <c r="I31" s="17" t="e">
        <f t="shared" si="8"/>
        <v>#VALUE!</v>
      </c>
      <c r="J31" s="18" t="e">
        <f t="shared" si="5"/>
        <v>#VALUE!</v>
      </c>
    </row>
    <row r="32" spans="1:10" x14ac:dyDescent="0.25">
      <c r="A32" s="16" t="s">
        <v>91</v>
      </c>
      <c r="B32" s="45" t="str">
        <f>+gastos!M28</f>
        <v>Procesos de circulación artística</v>
      </c>
      <c r="C32" s="17">
        <f>+gastos!N28</f>
        <v>7988</v>
      </c>
      <c r="D32" s="45">
        <f>+gastos!O28</f>
        <v>83</v>
      </c>
      <c r="E32" s="17">
        <f>+gastos!Q28</f>
        <v>0</v>
      </c>
      <c r="F32" s="17">
        <f>+gastos!W28</f>
        <v>210532837</v>
      </c>
      <c r="G32" s="17">
        <f t="shared" si="7"/>
        <v>83</v>
      </c>
      <c r="H32" s="17">
        <f t="shared" si="7"/>
        <v>-210532837</v>
      </c>
      <c r="I32" s="17" t="e">
        <f t="shared" si="8"/>
        <v>#VALUE!</v>
      </c>
      <c r="J32" s="18" t="e">
        <f t="shared" si="5"/>
        <v>#VALUE!</v>
      </c>
    </row>
    <row r="33" spans="1:10" x14ac:dyDescent="0.25">
      <c r="A33" s="20" t="s">
        <v>93</v>
      </c>
      <c r="B33" s="45" t="str">
        <f>+gastos!M29</f>
        <v>Apoyo a la realización y participación en eventos culturales</v>
      </c>
      <c r="C33" s="17">
        <f>+gastos!N29</f>
        <v>7989</v>
      </c>
      <c r="D33" s="45">
        <f>+gastos!O29</f>
        <v>84</v>
      </c>
      <c r="E33" s="17">
        <f>+gastos!Q29</f>
        <v>0</v>
      </c>
      <c r="F33" s="17">
        <f>+gastos!W29</f>
        <v>35592848</v>
      </c>
      <c r="G33" s="17">
        <f t="shared" si="7"/>
        <v>84</v>
      </c>
      <c r="H33" s="17">
        <f t="shared" si="7"/>
        <v>-35592848</v>
      </c>
      <c r="I33" s="17" t="e">
        <f t="shared" si="8"/>
        <v>#VALUE!</v>
      </c>
      <c r="J33" s="18" t="e">
        <f t="shared" si="5"/>
        <v>#VALUE!</v>
      </c>
    </row>
    <row r="34" spans="1:10" x14ac:dyDescent="0.25">
      <c r="A34" s="16" t="s">
        <v>95</v>
      </c>
      <c r="B34" s="45" t="str">
        <f>+gastos!M30</f>
        <v>Circulación audiovisual y cinematografía -Circulación (Conv_ Ord 29)/10% de Ord 12</v>
      </c>
      <c r="C34" s="17">
        <f>+gastos!N30</f>
        <v>7990</v>
      </c>
      <c r="D34" s="45">
        <f>+gastos!O30</f>
        <v>85</v>
      </c>
      <c r="E34" s="17">
        <f>+gastos!Q30</f>
        <v>0</v>
      </c>
      <c r="F34" s="17">
        <f>+gastos!W30</f>
        <v>35592848</v>
      </c>
      <c r="G34" s="17">
        <f t="shared" si="7"/>
        <v>85</v>
      </c>
      <c r="H34" s="17">
        <f t="shared" si="7"/>
        <v>-35592848</v>
      </c>
      <c r="I34" s="17" t="e">
        <f t="shared" si="8"/>
        <v>#VALUE!</v>
      </c>
      <c r="J34" s="18" t="e">
        <f t="shared" si="5"/>
        <v>#VALUE!</v>
      </c>
    </row>
    <row r="35" spans="1:10" x14ac:dyDescent="0.25">
      <c r="A35" s="20" t="s">
        <v>97</v>
      </c>
      <c r="B35" s="45" t="str">
        <f>+gastos!M31</f>
        <v>Convocatoria de bancos Jurados</v>
      </c>
      <c r="C35" s="17">
        <f>+gastos!N31</f>
        <v>8019</v>
      </c>
      <c r="D35" s="45">
        <f>+gastos!O31</f>
        <v>104</v>
      </c>
      <c r="E35" s="17">
        <f>+gastos!Q31</f>
        <v>0</v>
      </c>
      <c r="F35" s="17">
        <f>+gastos!W31</f>
        <v>40430000</v>
      </c>
      <c r="G35" s="17">
        <f t="shared" si="7"/>
        <v>104</v>
      </c>
      <c r="H35" s="17">
        <f t="shared" si="7"/>
        <v>-40430000</v>
      </c>
      <c r="I35" s="17" t="e">
        <f t="shared" si="8"/>
        <v>#VALUE!</v>
      </c>
      <c r="J35" s="18" t="e">
        <f t="shared" si="5"/>
        <v>#VALUE!</v>
      </c>
    </row>
    <row r="36" spans="1:10" x14ac:dyDescent="0.25">
      <c r="A36" s="16" t="s">
        <v>99</v>
      </c>
      <c r="B36" s="45" t="str">
        <f>+gastos!M32</f>
        <v>Acciones comunicacionales</v>
      </c>
      <c r="C36" s="17">
        <f>+gastos!N32</f>
        <v>7991</v>
      </c>
      <c r="D36" s="45">
        <f>+gastos!O32</f>
        <v>86</v>
      </c>
      <c r="E36" s="17">
        <f>+gastos!Q32</f>
        <v>0</v>
      </c>
      <c r="F36" s="17">
        <f>+gastos!W32</f>
        <v>256069050</v>
      </c>
      <c r="G36" s="17">
        <f t="shared" si="7"/>
        <v>86</v>
      </c>
      <c r="H36" s="17">
        <f t="shared" si="7"/>
        <v>-256069050</v>
      </c>
      <c r="I36" s="17" t="e">
        <f t="shared" si="8"/>
        <v>#VALUE!</v>
      </c>
      <c r="J36" s="18" t="e">
        <f t="shared" si="5"/>
        <v>#VALUE!</v>
      </c>
    </row>
    <row r="37" spans="1:10" x14ac:dyDescent="0.25">
      <c r="A37" s="16" t="s">
        <v>101</v>
      </c>
      <c r="B37" s="45" t="str">
        <f>+gastos!M33</f>
        <v>Convocatoria de Salas Concertadas</v>
      </c>
      <c r="C37" s="17">
        <f>+gastos!N33</f>
        <v>7992</v>
      </c>
      <c r="D37" s="45">
        <f>+gastos!O33</f>
        <v>87</v>
      </c>
      <c r="E37" s="17">
        <f>+gastos!Q33</f>
        <v>0</v>
      </c>
      <c r="F37" s="17">
        <f>+gastos!W33</f>
        <v>0</v>
      </c>
      <c r="G37" s="17">
        <f t="shared" si="7"/>
        <v>87</v>
      </c>
      <c r="H37" s="17">
        <f t="shared" si="7"/>
        <v>0</v>
      </c>
      <c r="I37" s="17" t="e">
        <f t="shared" si="8"/>
        <v>#VALUE!</v>
      </c>
      <c r="J37" s="18" t="e">
        <f t="shared" si="5"/>
        <v>#VALUE!</v>
      </c>
    </row>
    <row r="38" spans="1:10" x14ac:dyDescent="0.25">
      <c r="A38" s="22" t="s">
        <v>200</v>
      </c>
      <c r="B38" s="14">
        <f t="shared" ref="B38:I38" si="9">SUM(B39:B40)</f>
        <v>0</v>
      </c>
      <c r="C38" s="14">
        <f t="shared" si="9"/>
        <v>16029</v>
      </c>
      <c r="D38" s="14">
        <f t="shared" si="9"/>
        <v>203</v>
      </c>
      <c r="E38" s="14">
        <f t="shared" si="9"/>
        <v>0</v>
      </c>
      <c r="F38" s="14">
        <f t="shared" si="9"/>
        <v>1066490545</v>
      </c>
      <c r="G38" s="14">
        <f t="shared" si="9"/>
        <v>203</v>
      </c>
      <c r="H38" s="14">
        <f t="shared" si="9"/>
        <v>-1066490545</v>
      </c>
      <c r="I38" s="14" t="e">
        <f t="shared" si="9"/>
        <v>#VALUE!</v>
      </c>
      <c r="J38" s="15" t="e">
        <f t="shared" si="5"/>
        <v>#DIV/0!</v>
      </c>
    </row>
    <row r="39" spans="1:10" x14ac:dyDescent="0.25">
      <c r="A39" s="16" t="s">
        <v>103</v>
      </c>
      <c r="B39" s="45" t="str">
        <f>+gastos!M34</f>
        <v>Convocatoria de bancos Jurados</v>
      </c>
      <c r="C39" s="17">
        <f>+gastos!N34</f>
        <v>8036</v>
      </c>
      <c r="D39" s="45">
        <f>+gastos!O34</f>
        <v>115</v>
      </c>
      <c r="E39" s="17">
        <f>+gastos!Q34</f>
        <v>0</v>
      </c>
      <c r="F39" s="17">
        <f>+gastos!W34</f>
        <v>0</v>
      </c>
      <c r="G39" s="17">
        <f>D39-E39</f>
        <v>115</v>
      </c>
      <c r="H39" s="17">
        <f>E39-F39</f>
        <v>0</v>
      </c>
      <c r="I39" s="17" t="e">
        <f t="shared" si="8"/>
        <v>#VALUE!</v>
      </c>
      <c r="J39" s="18">
        <v>0</v>
      </c>
    </row>
    <row r="40" spans="1:10" x14ac:dyDescent="0.25">
      <c r="A40" s="16" t="s">
        <v>202</v>
      </c>
      <c r="B40" s="45" t="str">
        <f>+gastos!M35</f>
        <v>Conceptualización, estructuración, definición y publicación de convocatorias públicas</v>
      </c>
      <c r="C40" s="17">
        <f>+gastos!N35</f>
        <v>7993</v>
      </c>
      <c r="D40" s="45">
        <f>+gastos!O35</f>
        <v>88</v>
      </c>
      <c r="E40" s="17">
        <f>+gastos!Q35</f>
        <v>0</v>
      </c>
      <c r="F40" s="17">
        <f>+gastos!W35</f>
        <v>1066490545</v>
      </c>
      <c r="G40" s="17">
        <f>D40-E40</f>
        <v>88</v>
      </c>
      <c r="H40" s="17">
        <f>E40-F40</f>
        <v>-1066490545</v>
      </c>
      <c r="I40" s="17" t="e">
        <f t="shared" si="8"/>
        <v>#VALUE!</v>
      </c>
      <c r="J40" s="18" t="e">
        <f t="shared" si="5"/>
        <v>#VALUE!</v>
      </c>
    </row>
    <row r="41" spans="1:10" x14ac:dyDescent="0.25">
      <c r="A41" s="22" t="s">
        <v>204</v>
      </c>
      <c r="B41" s="14">
        <f t="shared" ref="B41:I41" si="10">SUM(B42:B42)</f>
        <v>0</v>
      </c>
      <c r="C41" s="14">
        <f t="shared" si="10"/>
        <v>7924</v>
      </c>
      <c r="D41" s="14">
        <f t="shared" si="10"/>
        <v>32</v>
      </c>
      <c r="E41" s="14">
        <f t="shared" si="10"/>
        <v>120000000</v>
      </c>
      <c r="F41" s="14">
        <f t="shared" si="10"/>
        <v>75691792</v>
      </c>
      <c r="G41" s="14">
        <f t="shared" si="10"/>
        <v>-119999968</v>
      </c>
      <c r="H41" s="14">
        <f t="shared" si="10"/>
        <v>44308208</v>
      </c>
      <c r="I41" s="14" t="e">
        <f t="shared" si="10"/>
        <v>#VALUE!</v>
      </c>
      <c r="J41" s="15" t="e">
        <f t="shared" si="5"/>
        <v>#DIV/0!</v>
      </c>
    </row>
    <row r="42" spans="1:10" x14ac:dyDescent="0.25">
      <c r="A42" s="16" t="s">
        <v>52</v>
      </c>
      <c r="B42" s="45" t="str">
        <f>+gastos!M61</f>
        <v>Diagnóstico, adquisición, clasificación y entrega de material bibliográfico y equipamientos de bibliotecas</v>
      </c>
      <c r="C42" s="17">
        <f>+gastos!N61</f>
        <v>7924</v>
      </c>
      <c r="D42" s="45">
        <f>+gastos!O61</f>
        <v>32</v>
      </c>
      <c r="E42" s="17">
        <f>+gastos!Q61</f>
        <v>120000000</v>
      </c>
      <c r="F42" s="17">
        <f>+gastos!W61</f>
        <v>75691792</v>
      </c>
      <c r="G42" s="17">
        <f>D42-E42</f>
        <v>-119999968</v>
      </c>
      <c r="H42" s="17">
        <f>E42-F42</f>
        <v>44308208</v>
      </c>
      <c r="I42" s="17" t="e">
        <f t="shared" si="8"/>
        <v>#VALUE!</v>
      </c>
      <c r="J42" s="18" t="e">
        <f t="shared" si="5"/>
        <v>#VALUE!</v>
      </c>
    </row>
    <row r="43" spans="1:10" x14ac:dyDescent="0.25">
      <c r="A43" s="24" t="s">
        <v>205</v>
      </c>
      <c r="B43" s="9">
        <f t="shared" ref="B43:I43" si="11">+B44+B67</f>
        <v>0</v>
      </c>
      <c r="C43" s="9">
        <f t="shared" si="11"/>
        <v>198992</v>
      </c>
      <c r="D43" s="9">
        <f t="shared" si="11"/>
        <v>1465</v>
      </c>
      <c r="E43" s="9">
        <f t="shared" si="11"/>
        <v>4462387204</v>
      </c>
      <c r="F43" s="9">
        <f t="shared" si="11"/>
        <v>6711165569</v>
      </c>
      <c r="G43" s="9">
        <f t="shared" si="11"/>
        <v>-4462385739</v>
      </c>
      <c r="H43" s="9">
        <f t="shared" si="11"/>
        <v>-2248778365</v>
      </c>
      <c r="I43" s="9" t="e">
        <f t="shared" si="11"/>
        <v>#VALUE!</v>
      </c>
      <c r="J43" s="10" t="e">
        <f t="shared" si="5"/>
        <v>#DIV/0!</v>
      </c>
    </row>
    <row r="44" spans="1:10" x14ac:dyDescent="0.25">
      <c r="A44" s="22" t="s">
        <v>106</v>
      </c>
      <c r="B44" s="14">
        <f t="shared" ref="B44:I44" si="12">SUM(B45:B66)</f>
        <v>0</v>
      </c>
      <c r="C44" s="14">
        <f t="shared" si="12"/>
        <v>175073</v>
      </c>
      <c r="D44" s="14">
        <f t="shared" si="12"/>
        <v>1251</v>
      </c>
      <c r="E44" s="14">
        <f t="shared" si="12"/>
        <v>4408387204</v>
      </c>
      <c r="F44" s="14">
        <f t="shared" si="12"/>
        <v>6657165569</v>
      </c>
      <c r="G44" s="14">
        <f t="shared" si="12"/>
        <v>-4408385953</v>
      </c>
      <c r="H44" s="14">
        <f t="shared" si="12"/>
        <v>-2248778365</v>
      </c>
      <c r="I44" s="14" t="e">
        <f t="shared" si="12"/>
        <v>#VALUE!</v>
      </c>
      <c r="J44" s="15" t="e">
        <f t="shared" si="5"/>
        <v>#DIV/0!</v>
      </c>
    </row>
    <row r="45" spans="1:10" x14ac:dyDescent="0.25">
      <c r="A45" s="16" t="s">
        <v>107</v>
      </c>
      <c r="B45" s="17" t="str">
        <f>+gastos!M36</f>
        <v>Fortalecimiento a los artístas</v>
      </c>
      <c r="C45" s="17">
        <f>+gastos!N36</f>
        <v>7910</v>
      </c>
      <c r="D45" s="17">
        <f>+gastos!O36</f>
        <v>18</v>
      </c>
      <c r="E45" s="17">
        <f>+gastos!Q36</f>
        <v>325000000</v>
      </c>
      <c r="F45" s="17">
        <f>+gastos!W36</f>
        <v>320000000</v>
      </c>
      <c r="G45" s="17">
        <f t="shared" ref="G45:H66" si="13">D45-E45</f>
        <v>-324999982</v>
      </c>
      <c r="H45" s="17">
        <f t="shared" si="13"/>
        <v>5000000</v>
      </c>
      <c r="I45" s="17" t="e">
        <f t="shared" ref="I45:I66" si="14">B45-D45</f>
        <v>#VALUE!</v>
      </c>
      <c r="J45" s="18" t="e">
        <f t="shared" si="5"/>
        <v>#VALUE!</v>
      </c>
    </row>
    <row r="46" spans="1:10" x14ac:dyDescent="0.25">
      <c r="A46" s="16" t="s">
        <v>109</v>
      </c>
      <c r="B46" s="17" t="str">
        <f>+gastos!M37</f>
        <v>Circulación y muestras Artísticas</v>
      </c>
      <c r="C46" s="17">
        <f>+gastos!N37</f>
        <v>7911</v>
      </c>
      <c r="D46" s="17">
        <f>+gastos!O37</f>
        <v>19</v>
      </c>
      <c r="E46" s="17">
        <f>+gastos!Q37</f>
        <v>200000000</v>
      </c>
      <c r="F46" s="17">
        <f>+gastos!W37</f>
        <v>400000000</v>
      </c>
      <c r="G46" s="17">
        <f t="shared" si="13"/>
        <v>-199999981</v>
      </c>
      <c r="H46" s="17">
        <f t="shared" si="13"/>
        <v>-200000000</v>
      </c>
      <c r="I46" s="17" t="e">
        <f t="shared" si="14"/>
        <v>#VALUE!</v>
      </c>
      <c r="J46" s="18" t="e">
        <f t="shared" si="5"/>
        <v>#VALUE!</v>
      </c>
    </row>
    <row r="47" spans="1:10" x14ac:dyDescent="0.25">
      <c r="A47" s="16" t="s">
        <v>111</v>
      </c>
      <c r="B47" s="17" t="str">
        <f>+gastos!M38</f>
        <v>Presentación, evaluación, clasificación y puesta en escena</v>
      </c>
      <c r="C47" s="17">
        <f>+gastos!N38</f>
        <v>7912</v>
      </c>
      <c r="D47" s="17">
        <f>+gastos!O38</f>
        <v>20</v>
      </c>
      <c r="E47" s="17">
        <f>+gastos!Q38</f>
        <v>500000000</v>
      </c>
      <c r="F47" s="17">
        <f>+gastos!W38</f>
        <v>498443828</v>
      </c>
      <c r="G47" s="17">
        <f t="shared" si="13"/>
        <v>-499999980</v>
      </c>
      <c r="H47" s="17">
        <f t="shared" si="13"/>
        <v>1556172</v>
      </c>
      <c r="I47" s="17" t="e">
        <f t="shared" si="14"/>
        <v>#VALUE!</v>
      </c>
      <c r="J47" s="18" t="e">
        <f t="shared" si="5"/>
        <v>#VALUE!</v>
      </c>
    </row>
    <row r="48" spans="1:10" x14ac:dyDescent="0.25">
      <c r="A48" s="16" t="s">
        <v>113</v>
      </c>
      <c r="B48" s="17" t="str">
        <f>+gastos!M39</f>
        <v>Presentación, evaluación, clasificación y puesta en escena</v>
      </c>
      <c r="C48" s="17">
        <f>+gastos!N39</f>
        <v>8043</v>
      </c>
      <c r="D48" s="17">
        <f>+gastos!O39</f>
        <v>121</v>
      </c>
      <c r="E48" s="17">
        <f>+gastos!Q39</f>
        <v>0</v>
      </c>
      <c r="F48" s="17">
        <f>+gastos!W39</f>
        <v>1500000000</v>
      </c>
      <c r="G48" s="17">
        <f t="shared" si="13"/>
        <v>121</v>
      </c>
      <c r="H48" s="17">
        <f t="shared" si="13"/>
        <v>-1500000000</v>
      </c>
      <c r="I48" s="17" t="e">
        <f t="shared" si="14"/>
        <v>#VALUE!</v>
      </c>
      <c r="J48" s="18" t="e">
        <f t="shared" si="5"/>
        <v>#VALUE!</v>
      </c>
    </row>
    <row r="49" spans="1:10" x14ac:dyDescent="0.25">
      <c r="A49" s="16" t="s">
        <v>115</v>
      </c>
      <c r="B49" s="17" t="str">
        <f>+gastos!M40</f>
        <v>Programa de profesionalización Vigencia</v>
      </c>
      <c r="C49" s="17">
        <f>+gastos!N40</f>
        <v>8002</v>
      </c>
      <c r="D49" s="17">
        <f>+gastos!O40</f>
        <v>94</v>
      </c>
      <c r="E49" s="17">
        <f>+gastos!Q40</f>
        <v>0</v>
      </c>
      <c r="F49" s="17">
        <f>+gastos!W40</f>
        <v>0</v>
      </c>
      <c r="G49" s="17">
        <f t="shared" si="13"/>
        <v>94</v>
      </c>
      <c r="H49" s="17">
        <f t="shared" si="13"/>
        <v>0</v>
      </c>
      <c r="I49" s="17" t="e">
        <f t="shared" si="14"/>
        <v>#VALUE!</v>
      </c>
      <c r="J49" s="18" t="e">
        <f t="shared" si="5"/>
        <v>#VALUE!</v>
      </c>
    </row>
    <row r="50" spans="1:10" x14ac:dyDescent="0.25">
      <c r="A50" s="16" t="s">
        <v>117</v>
      </c>
      <c r="B50" s="17" t="str">
        <f>+gastos!M41</f>
        <v xml:space="preserve">Emprendedores formados en temas de industrias creativas y /o economia naranja (Ord 42) </v>
      </c>
      <c r="C50" s="17">
        <f>+gastos!N41</f>
        <v>7913</v>
      </c>
      <c r="D50" s="17">
        <f>+gastos!O41</f>
        <v>21</v>
      </c>
      <c r="E50" s="17">
        <f>+gastos!Q41</f>
        <v>50000000</v>
      </c>
      <c r="F50" s="17">
        <f>+gastos!W41</f>
        <v>35592848</v>
      </c>
      <c r="G50" s="17">
        <f t="shared" si="13"/>
        <v>-49999979</v>
      </c>
      <c r="H50" s="17">
        <f t="shared" si="13"/>
        <v>14407152</v>
      </c>
      <c r="I50" s="17" t="e">
        <f t="shared" si="14"/>
        <v>#VALUE!</v>
      </c>
      <c r="J50" s="18" t="e">
        <f t="shared" si="5"/>
        <v>#VALUE!</v>
      </c>
    </row>
    <row r="51" spans="1:10" x14ac:dyDescent="0.25">
      <c r="A51" s="16" t="s">
        <v>119</v>
      </c>
      <c r="B51" s="17" t="str">
        <f>+gastos!M42</f>
        <v>Programa de profesionalización.VF</v>
      </c>
      <c r="C51" s="17">
        <f>+gastos!N42</f>
        <v>7914</v>
      </c>
      <c r="D51" s="17">
        <f>+gastos!O42</f>
        <v>22</v>
      </c>
      <c r="E51" s="17">
        <f>+gastos!Q42</f>
        <v>850000000</v>
      </c>
      <c r="F51" s="17">
        <f>+gastos!W42</f>
        <v>850000000</v>
      </c>
      <c r="G51" s="17">
        <f t="shared" si="13"/>
        <v>-849999978</v>
      </c>
      <c r="H51" s="17">
        <f t="shared" si="13"/>
        <v>0</v>
      </c>
      <c r="I51" s="17" t="e">
        <f t="shared" si="14"/>
        <v>#VALUE!</v>
      </c>
      <c r="J51" s="18" t="e">
        <f t="shared" si="5"/>
        <v>#VALUE!</v>
      </c>
    </row>
    <row r="52" spans="1:10" x14ac:dyDescent="0.25">
      <c r="A52" s="16" t="s">
        <v>121</v>
      </c>
      <c r="B52" s="17" t="str">
        <f>+gastos!M43</f>
        <v>Programa de profesionalización</v>
      </c>
      <c r="C52" s="17">
        <f>+gastos!N43</f>
        <v>8003</v>
      </c>
      <c r="D52" s="17">
        <f>+gastos!O43</f>
        <v>95</v>
      </c>
      <c r="E52" s="17">
        <f>+gastos!Q43</f>
        <v>0</v>
      </c>
      <c r="F52" s="17">
        <f>+gastos!W43</f>
        <v>795000000</v>
      </c>
      <c r="G52" s="17">
        <f t="shared" si="13"/>
        <v>95</v>
      </c>
      <c r="H52" s="17">
        <f t="shared" si="13"/>
        <v>-795000000</v>
      </c>
      <c r="I52" s="17" t="e">
        <f t="shared" si="14"/>
        <v>#VALUE!</v>
      </c>
      <c r="J52" s="18" t="e">
        <f t="shared" si="5"/>
        <v>#VALUE!</v>
      </c>
    </row>
    <row r="53" spans="1:10" x14ac:dyDescent="0.25">
      <c r="A53" s="16" t="s">
        <v>113</v>
      </c>
      <c r="B53" s="17" t="str">
        <f>+gastos!M46</f>
        <v>Intervenciones de bienes de interes cultural</v>
      </c>
      <c r="C53" s="17">
        <f>+gastos!N46</f>
        <v>8020</v>
      </c>
      <c r="D53" s="17">
        <f>+gastos!O46</f>
        <v>105</v>
      </c>
      <c r="E53" s="17">
        <f>+gastos!Q46</f>
        <v>0</v>
      </c>
      <c r="F53" s="17">
        <f>+gastos!W46</f>
        <v>447528584</v>
      </c>
      <c r="G53" s="17">
        <f t="shared" si="13"/>
        <v>105</v>
      </c>
      <c r="H53" s="17">
        <f t="shared" si="13"/>
        <v>-447528584</v>
      </c>
      <c r="I53" s="17" t="e">
        <f t="shared" si="14"/>
        <v>#VALUE!</v>
      </c>
      <c r="J53" s="18" t="e">
        <f t="shared" si="5"/>
        <v>#VALUE!</v>
      </c>
    </row>
    <row r="54" spans="1:10" x14ac:dyDescent="0.25">
      <c r="A54" s="20" t="s">
        <v>121</v>
      </c>
      <c r="B54" s="17" t="str">
        <f>+gastos!M47</f>
        <v>Investigaciones en aréas artísticas y culturales AAH (Ord.27)</v>
      </c>
      <c r="C54" s="17">
        <f>+gastos!N47</f>
        <v>7915</v>
      </c>
      <c r="D54" s="17">
        <f>+gastos!O47</f>
        <v>23</v>
      </c>
      <c r="E54" s="17">
        <f>+gastos!Q47</f>
        <v>221062382</v>
      </c>
      <c r="F54" s="17">
        <f>+gastos!W47</f>
        <v>215982196</v>
      </c>
      <c r="G54" s="17">
        <f t="shared" si="13"/>
        <v>-221062359</v>
      </c>
      <c r="H54" s="17">
        <f t="shared" si="13"/>
        <v>5080186</v>
      </c>
      <c r="I54" s="17" t="e">
        <f t="shared" si="14"/>
        <v>#VALUE!</v>
      </c>
      <c r="J54" s="18" t="e">
        <f t="shared" si="5"/>
        <v>#VALUE!</v>
      </c>
    </row>
    <row r="55" spans="1:10" x14ac:dyDescent="0.25">
      <c r="A55" s="20" t="s">
        <v>107</v>
      </c>
      <c r="B55" s="17" t="str">
        <f>+gastos!M48</f>
        <v>Formulación de proyectos a implementarse en los  P.E.S Y P.E.M</v>
      </c>
      <c r="C55" s="17">
        <f>+gastos!N48</f>
        <v>7916</v>
      </c>
      <c r="D55" s="17">
        <f>+gastos!O48</f>
        <v>24</v>
      </c>
      <c r="E55" s="17">
        <f>+gastos!Q48</f>
        <v>30963803</v>
      </c>
      <c r="F55" s="17">
        <f>+gastos!W48</f>
        <v>0</v>
      </c>
      <c r="G55" s="17">
        <f t="shared" si="13"/>
        <v>-30963779</v>
      </c>
      <c r="H55" s="17">
        <f t="shared" si="13"/>
        <v>30963803</v>
      </c>
      <c r="I55" s="17" t="e">
        <f t="shared" si="14"/>
        <v>#VALUE!</v>
      </c>
      <c r="J55" s="18" t="e">
        <f t="shared" si="5"/>
        <v>#VALUE!</v>
      </c>
    </row>
    <row r="56" spans="1:10" x14ac:dyDescent="0.25">
      <c r="A56" s="20" t="s">
        <v>111</v>
      </c>
      <c r="B56" s="17" t="str">
        <f>+gastos!M49</f>
        <v>Actividades entorno a la apropiación del patrimonio. Cátedra de Patrimonio</v>
      </c>
      <c r="C56" s="17">
        <f>+gastos!N49</f>
        <v>7917</v>
      </c>
      <c r="D56" s="17">
        <f>+gastos!O49</f>
        <v>25</v>
      </c>
      <c r="E56" s="17">
        <f>+gastos!Q49</f>
        <v>1843361019</v>
      </c>
      <c r="F56" s="17">
        <f>+gastos!W49</f>
        <v>56920000</v>
      </c>
      <c r="G56" s="17">
        <f t="shared" si="13"/>
        <v>-1843360994</v>
      </c>
      <c r="H56" s="17">
        <f t="shared" si="13"/>
        <v>1786441019</v>
      </c>
      <c r="I56" s="17" t="e">
        <f t="shared" si="14"/>
        <v>#VALUE!</v>
      </c>
      <c r="J56" s="18" t="e">
        <f t="shared" si="5"/>
        <v>#VALUE!</v>
      </c>
    </row>
    <row r="57" spans="1:10" x14ac:dyDescent="0.25">
      <c r="A57" s="20" t="s">
        <v>107</v>
      </c>
      <c r="B57" s="17" t="str">
        <f>+gastos!M50</f>
        <v xml:space="preserve">Mantenimientos y adecuaciones al Palacio de la Cultura </v>
      </c>
      <c r="C57" s="17">
        <f>+gastos!N50</f>
        <v>7918</v>
      </c>
      <c r="D57" s="17">
        <f>+gastos!O50</f>
        <v>26</v>
      </c>
      <c r="E57" s="17">
        <f>+gastos!Q50</f>
        <v>50000000</v>
      </c>
      <c r="F57" s="17">
        <f>+gastos!W50</f>
        <v>0</v>
      </c>
      <c r="G57" s="17">
        <f t="shared" si="13"/>
        <v>-49999974</v>
      </c>
      <c r="H57" s="17">
        <f t="shared" si="13"/>
        <v>50000000</v>
      </c>
      <c r="I57" s="17" t="e">
        <f t="shared" si="14"/>
        <v>#VALUE!</v>
      </c>
      <c r="J57" s="18" t="e">
        <f t="shared" si="5"/>
        <v>#VALUE!</v>
      </c>
    </row>
    <row r="58" spans="1:10" x14ac:dyDescent="0.25">
      <c r="A58" s="20" t="s">
        <v>119</v>
      </c>
      <c r="B58" s="17" t="str">
        <f>+gastos!M51</f>
        <v>realización de inventarios de Patrimonio cultural</v>
      </c>
      <c r="C58" s="17">
        <f>+gastos!N51</f>
        <v>7919</v>
      </c>
      <c r="D58" s="17">
        <f>+gastos!O51</f>
        <v>27</v>
      </c>
      <c r="E58" s="17">
        <f>+gastos!Q51</f>
        <v>4000000</v>
      </c>
      <c r="F58" s="17">
        <f>+gastos!W51</f>
        <v>583522476</v>
      </c>
      <c r="G58" s="17">
        <f t="shared" si="13"/>
        <v>-3999973</v>
      </c>
      <c r="H58" s="17">
        <f t="shared" si="13"/>
        <v>-579522476</v>
      </c>
      <c r="I58" s="17" t="e">
        <f t="shared" si="14"/>
        <v>#VALUE!</v>
      </c>
      <c r="J58" s="18" t="e">
        <f t="shared" si="5"/>
        <v>#VALUE!</v>
      </c>
    </row>
    <row r="59" spans="1:10" x14ac:dyDescent="0.25">
      <c r="A59" s="20" t="s">
        <v>109</v>
      </c>
      <c r="B59" s="17" t="str">
        <f>+gastos!M52</f>
        <v>Intervenciones de bienes de interes cultural</v>
      </c>
      <c r="C59" s="17">
        <f>+gastos!N52</f>
        <v>7986</v>
      </c>
      <c r="D59" s="17">
        <f>+gastos!O52</f>
        <v>81</v>
      </c>
      <c r="E59" s="17">
        <f>+gastos!Q52</f>
        <v>0</v>
      </c>
      <c r="F59" s="17">
        <f>+gastos!W52</f>
        <v>155155349</v>
      </c>
      <c r="G59" s="17">
        <f t="shared" si="13"/>
        <v>81</v>
      </c>
      <c r="H59" s="17">
        <f t="shared" si="13"/>
        <v>-155155349</v>
      </c>
      <c r="I59" s="17" t="e">
        <f t="shared" si="14"/>
        <v>#VALUE!</v>
      </c>
      <c r="J59" s="18" t="e">
        <f t="shared" si="5"/>
        <v>#VALUE!</v>
      </c>
    </row>
    <row r="60" spans="1:10" x14ac:dyDescent="0.25">
      <c r="A60" s="20" t="s">
        <v>111</v>
      </c>
      <c r="B60" s="17" t="str">
        <f>+gastos!M53</f>
        <v>Formulación de proyectos a implementarse en los  P.E.S Y P.E.M</v>
      </c>
      <c r="C60" s="17">
        <f>+gastos!N53</f>
        <v>8037</v>
      </c>
      <c r="D60" s="17">
        <f>+gastos!O53</f>
        <v>116</v>
      </c>
      <c r="E60" s="17">
        <f>+gastos!Q53</f>
        <v>0</v>
      </c>
      <c r="F60" s="17">
        <f>+gastos!W53</f>
        <v>30000000</v>
      </c>
      <c r="G60" s="17">
        <f t="shared" si="13"/>
        <v>116</v>
      </c>
      <c r="H60" s="17">
        <f t="shared" si="13"/>
        <v>-30000000</v>
      </c>
      <c r="I60" s="17" t="e">
        <f t="shared" si="14"/>
        <v>#VALUE!</v>
      </c>
      <c r="J60" s="18" t="e">
        <f t="shared" si="5"/>
        <v>#VALUE!</v>
      </c>
    </row>
    <row r="61" spans="1:10" x14ac:dyDescent="0.25">
      <c r="A61" s="20" t="s">
        <v>115</v>
      </c>
      <c r="B61" s="17" t="str">
        <f>+gastos!M54</f>
        <v>Actividades entorno a la apropiación del patrimonio. Cátedra de Patrimonio</v>
      </c>
      <c r="C61" s="17">
        <f>+gastos!N54</f>
        <v>7995</v>
      </c>
      <c r="D61" s="17">
        <f>+gastos!O54</f>
        <v>90</v>
      </c>
      <c r="E61" s="17">
        <f>+gastos!Q54</f>
        <v>0</v>
      </c>
      <c r="F61" s="17">
        <f>+gastos!W54</f>
        <v>35592848</v>
      </c>
      <c r="G61" s="17">
        <f t="shared" si="13"/>
        <v>90</v>
      </c>
      <c r="H61" s="17">
        <f t="shared" si="13"/>
        <v>-35592848</v>
      </c>
      <c r="I61" s="17" t="e">
        <f t="shared" si="14"/>
        <v>#VALUE!</v>
      </c>
      <c r="J61" s="18" t="e">
        <f t="shared" si="5"/>
        <v>#VALUE!</v>
      </c>
    </row>
    <row r="62" spans="1:10" x14ac:dyDescent="0.25">
      <c r="A62" s="20" t="s">
        <v>117</v>
      </c>
      <c r="B62" s="17" t="str">
        <f>+gastos!M55</f>
        <v>realización de inventarios de Patrimonio cultural</v>
      </c>
      <c r="C62" s="17">
        <f>+gastos!N55</f>
        <v>8038</v>
      </c>
      <c r="D62" s="17">
        <f>+gastos!O55</f>
        <v>117</v>
      </c>
      <c r="E62" s="17">
        <f>+gastos!Q55</f>
        <v>0</v>
      </c>
      <c r="F62" s="17">
        <f>+gastos!W55</f>
        <v>4997420</v>
      </c>
      <c r="G62" s="17">
        <f t="shared" si="13"/>
        <v>117</v>
      </c>
      <c r="H62" s="17">
        <f t="shared" si="13"/>
        <v>-4997420</v>
      </c>
      <c r="I62" s="17" t="e">
        <f t="shared" si="14"/>
        <v>#VALUE!</v>
      </c>
      <c r="J62" s="18" t="e">
        <f t="shared" si="5"/>
        <v>#VALUE!</v>
      </c>
    </row>
    <row r="63" spans="1:10" x14ac:dyDescent="0.25">
      <c r="A63" s="20" t="s">
        <v>119</v>
      </c>
      <c r="B63" s="17" t="str">
        <f>+gastos!M56</f>
        <v>Intervenciones de bienes de interes cultural</v>
      </c>
      <c r="C63" s="17">
        <f>+gastos!N56</f>
        <v>8039</v>
      </c>
      <c r="D63" s="17">
        <f>+gastos!O56</f>
        <v>118</v>
      </c>
      <c r="E63" s="17">
        <f>+gastos!Q56</f>
        <v>0</v>
      </c>
      <c r="F63" s="17">
        <f>+gastos!W56</f>
        <v>0</v>
      </c>
      <c r="G63" s="17">
        <f t="shared" si="13"/>
        <v>118</v>
      </c>
      <c r="H63" s="17">
        <f t="shared" si="13"/>
        <v>0</v>
      </c>
      <c r="I63" s="17" t="e">
        <f t="shared" si="14"/>
        <v>#VALUE!</v>
      </c>
      <c r="J63" s="18" t="e">
        <f t="shared" si="5"/>
        <v>#VALUE!</v>
      </c>
    </row>
    <row r="64" spans="1:10" x14ac:dyDescent="0.25">
      <c r="A64" s="20" t="s">
        <v>121</v>
      </c>
      <c r="B64" s="17" t="str">
        <f>+gastos!M57</f>
        <v>Adecuación de infraestructura</v>
      </c>
      <c r="C64" s="17">
        <f>+gastos!N57</f>
        <v>7920</v>
      </c>
      <c r="D64" s="17">
        <f>+gastos!O57</f>
        <v>28</v>
      </c>
      <c r="E64" s="17">
        <f>+gastos!Q57</f>
        <v>54000000</v>
      </c>
      <c r="F64" s="17">
        <f>+gastos!W57</f>
        <v>53618275</v>
      </c>
      <c r="G64" s="17">
        <f t="shared" si="13"/>
        <v>-53999972</v>
      </c>
      <c r="H64" s="17">
        <f t="shared" si="13"/>
        <v>381725</v>
      </c>
      <c r="I64" s="17" t="e">
        <f t="shared" si="14"/>
        <v>#VALUE!</v>
      </c>
      <c r="J64" s="18" t="e">
        <f t="shared" si="5"/>
        <v>#VALUE!</v>
      </c>
    </row>
    <row r="65" spans="1:10" x14ac:dyDescent="0.25">
      <c r="A65" s="20" t="s">
        <v>107</v>
      </c>
      <c r="B65" s="17" t="str">
        <f>+gastos!M59</f>
        <v>Fortalecer la plataforma tecnológica</v>
      </c>
      <c r="C65" s="17">
        <f>+gastos!N59</f>
        <v>7922</v>
      </c>
      <c r="D65" s="17">
        <f>+gastos!O59</f>
        <v>30</v>
      </c>
      <c r="E65" s="17">
        <f>+gastos!Q59</f>
        <v>200000000</v>
      </c>
      <c r="F65" s="17">
        <f>+gastos!W59</f>
        <v>518511745</v>
      </c>
      <c r="G65" s="17">
        <f t="shared" si="13"/>
        <v>-199999970</v>
      </c>
      <c r="H65" s="17">
        <f t="shared" si="13"/>
        <v>-318511745</v>
      </c>
      <c r="I65" s="17" t="e">
        <f t="shared" si="14"/>
        <v>#VALUE!</v>
      </c>
      <c r="J65" s="18" t="e">
        <f t="shared" si="5"/>
        <v>#VALUE!</v>
      </c>
    </row>
    <row r="66" spans="1:10" x14ac:dyDescent="0.25">
      <c r="A66" s="20" t="s">
        <v>119</v>
      </c>
      <c r="B66" s="17" t="str">
        <f>+gastos!M60</f>
        <v>Diagnóstico, adquisición y entrega de instrumentos musicales</v>
      </c>
      <c r="C66" s="17">
        <f>+gastos!N60</f>
        <v>7923</v>
      </c>
      <c r="D66" s="17">
        <f>+gastos!O60</f>
        <v>31</v>
      </c>
      <c r="E66" s="17">
        <f>+gastos!Q60</f>
        <v>80000000</v>
      </c>
      <c r="F66" s="17">
        <f>+gastos!W60</f>
        <v>156300000</v>
      </c>
      <c r="G66" s="17">
        <f t="shared" si="13"/>
        <v>-79999969</v>
      </c>
      <c r="H66" s="17">
        <f t="shared" si="13"/>
        <v>-76300000</v>
      </c>
      <c r="I66" s="17" t="e">
        <f t="shared" si="14"/>
        <v>#VALUE!</v>
      </c>
      <c r="J66" s="18" t="e">
        <f t="shared" si="5"/>
        <v>#VALUE!</v>
      </c>
    </row>
    <row r="67" spans="1:10" x14ac:dyDescent="0.25">
      <c r="A67" s="22" t="s">
        <v>123</v>
      </c>
      <c r="B67" s="14">
        <f>SUM(B68:B70)</f>
        <v>0</v>
      </c>
      <c r="C67" s="14">
        <f t="shared" ref="C67:I67" si="15">SUM(C68:C70)</f>
        <v>23919</v>
      </c>
      <c r="D67" s="14">
        <f t="shared" si="15"/>
        <v>214</v>
      </c>
      <c r="E67" s="14">
        <f t="shared" si="15"/>
        <v>54000000</v>
      </c>
      <c r="F67" s="14">
        <f t="shared" si="15"/>
        <v>54000000</v>
      </c>
      <c r="G67" s="14">
        <f t="shared" si="15"/>
        <v>-53999786</v>
      </c>
      <c r="H67" s="14">
        <f t="shared" si="15"/>
        <v>0</v>
      </c>
      <c r="I67" s="14" t="e">
        <f t="shared" si="15"/>
        <v>#VALUE!</v>
      </c>
      <c r="J67" s="15" t="e">
        <f>+D67/B67</f>
        <v>#DIV/0!</v>
      </c>
    </row>
    <row r="68" spans="1:10" x14ac:dyDescent="0.25">
      <c r="A68" s="16" t="s">
        <v>124</v>
      </c>
      <c r="B68" s="17" t="str">
        <f>+gastos!M44</f>
        <v xml:space="preserve">Emprendedores formados en temas de industrias creativas y /o economia naranja (Ord 42) </v>
      </c>
      <c r="C68" s="17">
        <f>+gastos!N44</f>
        <v>7994</v>
      </c>
      <c r="D68" s="17">
        <f>+gastos!O44</f>
        <v>89</v>
      </c>
      <c r="E68" s="17">
        <f>+gastos!Q44</f>
        <v>0</v>
      </c>
      <c r="F68" s="17">
        <f>+gastos!W44</f>
        <v>0</v>
      </c>
      <c r="G68" s="17">
        <f t="shared" ref="G68:H70" si="16">D68-E68</f>
        <v>89</v>
      </c>
      <c r="H68" s="17">
        <f t="shared" si="16"/>
        <v>0</v>
      </c>
      <c r="I68" s="17" t="e">
        <f>B68-D68</f>
        <v>#VALUE!</v>
      </c>
      <c r="J68" s="18">
        <f>+D68/C68</f>
        <v>1.1133350012509383E-2</v>
      </c>
    </row>
    <row r="69" spans="1:10" x14ac:dyDescent="0.25">
      <c r="A69" s="16" t="s">
        <v>126</v>
      </c>
      <c r="B69" s="17" t="str">
        <f>+gastos!M45</f>
        <v xml:space="preserve">Mantenimientos y adecuaciones al Palacio de la Cultura </v>
      </c>
      <c r="C69" s="17">
        <f>+gastos!N45</f>
        <v>8004</v>
      </c>
      <c r="D69" s="17">
        <f>+gastos!O45</f>
        <v>96</v>
      </c>
      <c r="E69" s="17">
        <f>+gastos!Q45</f>
        <v>0</v>
      </c>
      <c r="F69" s="17">
        <f>+gastos!W45</f>
        <v>0</v>
      </c>
      <c r="G69" s="17">
        <f t="shared" si="16"/>
        <v>96</v>
      </c>
      <c r="H69" s="17">
        <f t="shared" si="16"/>
        <v>0</v>
      </c>
      <c r="I69" s="17" t="e">
        <f>B69-D69</f>
        <v>#VALUE!</v>
      </c>
      <c r="J69" s="18">
        <f>+D69/C69</f>
        <v>1.1994002998500749E-2</v>
      </c>
    </row>
    <row r="70" spans="1:10" x14ac:dyDescent="0.25">
      <c r="A70" s="16" t="s">
        <v>124</v>
      </c>
      <c r="B70" s="17" t="str">
        <f>+gastos!M58</f>
        <v>Mantenimiento de Infraestructura</v>
      </c>
      <c r="C70" s="17">
        <f>+gastos!N58</f>
        <v>7921</v>
      </c>
      <c r="D70" s="17">
        <f>+gastos!O58</f>
        <v>29</v>
      </c>
      <c r="E70" s="17">
        <f>+gastos!Q58</f>
        <v>54000000</v>
      </c>
      <c r="F70" s="17">
        <f>+gastos!W58</f>
        <v>54000000</v>
      </c>
      <c r="G70" s="17">
        <f t="shared" si="16"/>
        <v>-53999971</v>
      </c>
      <c r="H70" s="17">
        <f t="shared" si="16"/>
        <v>0</v>
      </c>
      <c r="I70" s="17" t="e">
        <f>B70-D70</f>
        <v>#VALUE!</v>
      </c>
      <c r="J70" s="18">
        <f>+D70/C70</f>
        <v>3.6611538947102637E-3</v>
      </c>
    </row>
  </sheetData>
  <pageMargins left="0.7" right="0.7" top="0.75" bottom="0.75" header="0.3" footer="0.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B8713-0306-462A-BE22-11CDD9C6793E}">
  <sheetPr>
    <tabColor rgb="FF00B050"/>
  </sheetPr>
  <dimension ref="A1:X213"/>
  <sheetViews>
    <sheetView zoomScale="110" zoomScaleNormal="110" workbookViewId="0">
      <pane xSplit="2" ySplit="1" topLeftCell="H59" activePane="bottomRight" state="frozen"/>
      <selection activeCell="P31" sqref="P31"/>
      <selection pane="topRight" activeCell="P31" sqref="P31"/>
      <selection pane="bottomLeft" activeCell="P31" sqref="P31"/>
      <selection pane="bottomRight" activeCell="L67" sqref="L67"/>
    </sheetView>
  </sheetViews>
  <sheetFormatPr baseColWidth="10" defaultColWidth="11.5546875" defaultRowHeight="13.8" x14ac:dyDescent="0.3"/>
  <cols>
    <col min="1" max="1" width="52.44140625" style="100" customWidth="1"/>
    <col min="2" max="2" width="42.44140625" style="88" customWidth="1"/>
    <col min="3" max="3" width="16" style="87" hidden="1" customWidth="1"/>
    <col min="4" max="4" width="16.33203125" style="210" customWidth="1"/>
    <col min="5" max="5" width="15.88671875" style="210" customWidth="1"/>
    <col min="6" max="6" width="14" style="210" customWidth="1"/>
    <col min="7" max="20" width="15.88671875" style="210" customWidth="1"/>
    <col min="21" max="24" width="11.5546875" style="210"/>
    <col min="25" max="16384" width="11.5546875" style="100"/>
  </cols>
  <sheetData>
    <row r="1" spans="1:24" s="105" customFormat="1" x14ac:dyDescent="0.3">
      <c r="A1" s="113"/>
      <c r="B1" s="213" t="s">
        <v>608</v>
      </c>
      <c r="C1" s="214" t="s">
        <v>648</v>
      </c>
      <c r="D1" s="207" t="s">
        <v>16</v>
      </c>
      <c r="E1" s="207" t="s">
        <v>694</v>
      </c>
      <c r="F1" s="207" t="s">
        <v>349</v>
      </c>
      <c r="G1" s="207" t="s">
        <v>350</v>
      </c>
      <c r="H1" s="207" t="s">
        <v>351</v>
      </c>
      <c r="I1" s="207" t="s">
        <v>17</v>
      </c>
      <c r="J1" s="207" t="s">
        <v>18</v>
      </c>
      <c r="K1" s="207" t="s">
        <v>19</v>
      </c>
      <c r="L1" s="207" t="s">
        <v>21</v>
      </c>
      <c r="M1" s="207" t="s">
        <v>24</v>
      </c>
      <c r="N1" s="207" t="s">
        <v>695</v>
      </c>
      <c r="O1" s="207" t="s">
        <v>696</v>
      </c>
      <c r="P1" s="207" t="s">
        <v>697</v>
      </c>
      <c r="Q1" s="207" t="s">
        <v>698</v>
      </c>
      <c r="R1" s="207" t="s">
        <v>699</v>
      </c>
      <c r="S1" s="207" t="s">
        <v>700</v>
      </c>
      <c r="T1" s="207" t="s">
        <v>701</v>
      </c>
      <c r="U1" s="208"/>
      <c r="V1" s="208"/>
      <c r="W1" s="208"/>
      <c r="X1" s="208"/>
    </row>
    <row r="2" spans="1:24" s="105" customFormat="1" x14ac:dyDescent="0.3">
      <c r="A2" s="113" t="s">
        <v>26</v>
      </c>
      <c r="B2" s="113" t="s">
        <v>609</v>
      </c>
      <c r="C2" s="207">
        <f>C3+C66+C67</f>
        <v>14533479602</v>
      </c>
      <c r="D2" s="207">
        <f>D3+D66+D67</f>
        <v>14533479602</v>
      </c>
      <c r="E2" s="207">
        <f t="shared" ref="E2:T2" si="0">E3+E66+E67</f>
        <v>11119206983</v>
      </c>
      <c r="F2" s="207">
        <f t="shared" si="0"/>
        <v>701874892</v>
      </c>
      <c r="G2" s="207">
        <f t="shared" si="0"/>
        <v>3699004714</v>
      </c>
      <c r="H2" s="207">
        <f t="shared" si="0"/>
        <v>3699004714</v>
      </c>
      <c r="I2" s="207">
        <f t="shared" si="0"/>
        <v>24950811693</v>
      </c>
      <c r="J2" s="207">
        <f t="shared" si="0"/>
        <v>18989338934</v>
      </c>
      <c r="K2" s="207">
        <f t="shared" si="0"/>
        <v>18989338934</v>
      </c>
      <c r="L2" s="207">
        <f t="shared" si="0"/>
        <v>18989338934</v>
      </c>
      <c r="M2" s="207">
        <f t="shared" si="0"/>
        <v>16868331328</v>
      </c>
      <c r="N2" s="207">
        <f t="shared" si="0"/>
        <v>13866369</v>
      </c>
      <c r="O2" s="207">
        <f t="shared" si="0"/>
        <v>855320639</v>
      </c>
      <c r="P2" s="207">
        <f t="shared" si="0"/>
        <v>7076062550</v>
      </c>
      <c r="Q2" s="207">
        <f t="shared" si="0"/>
        <v>5046753037</v>
      </c>
      <c r="R2" s="207">
        <f t="shared" si="0"/>
        <v>0</v>
      </c>
      <c r="S2" s="207">
        <f t="shared" si="0"/>
        <v>0</v>
      </c>
      <c r="T2" s="207">
        <f t="shared" si="0"/>
        <v>2121007606</v>
      </c>
      <c r="U2" s="208"/>
      <c r="V2" s="208"/>
      <c r="W2" s="208"/>
      <c r="X2" s="208"/>
    </row>
    <row r="3" spans="1:24" s="105" customFormat="1" x14ac:dyDescent="0.3">
      <c r="A3" s="113" t="s">
        <v>649</v>
      </c>
      <c r="B3" s="113" t="s">
        <v>610</v>
      </c>
      <c r="C3" s="207">
        <f>C4+C29+C49+C55+C59</f>
        <v>7318227555</v>
      </c>
      <c r="D3" s="207">
        <f>D4+D29+D49+D55+D59</f>
        <v>7318227555</v>
      </c>
      <c r="E3" s="207">
        <f t="shared" ref="E3:T3" si="1">E4+E29+E49+E55+E59</f>
        <v>0</v>
      </c>
      <c r="F3" s="207">
        <f t="shared" si="1"/>
        <v>0</v>
      </c>
      <c r="G3" s="207">
        <f t="shared" si="1"/>
        <v>134100000</v>
      </c>
      <c r="H3" s="207">
        <f t="shared" si="1"/>
        <v>134100000</v>
      </c>
      <c r="I3" s="207">
        <f t="shared" si="1"/>
        <v>7318227555</v>
      </c>
      <c r="J3" s="207">
        <f t="shared" si="1"/>
        <v>6187571634</v>
      </c>
      <c r="K3" s="207">
        <f t="shared" si="1"/>
        <v>6187571634</v>
      </c>
      <c r="L3" s="207">
        <f t="shared" si="1"/>
        <v>6187571634</v>
      </c>
      <c r="M3" s="207">
        <f t="shared" si="1"/>
        <v>5632017143</v>
      </c>
      <c r="N3" s="207">
        <f t="shared" si="1"/>
        <v>792883432</v>
      </c>
      <c r="O3" s="207">
        <f t="shared" si="1"/>
        <v>855320639</v>
      </c>
      <c r="P3" s="207">
        <f t="shared" si="1"/>
        <v>1374631057</v>
      </c>
      <c r="Q3" s="207">
        <f t="shared" si="1"/>
        <v>915274659</v>
      </c>
      <c r="R3" s="207">
        <f t="shared" si="1"/>
        <v>0</v>
      </c>
      <c r="S3" s="207">
        <f t="shared" si="1"/>
        <v>0</v>
      </c>
      <c r="T3" s="207">
        <f t="shared" si="1"/>
        <v>555554491</v>
      </c>
      <c r="U3" s="208"/>
      <c r="V3" s="208"/>
      <c r="W3" s="208"/>
      <c r="X3" s="208"/>
    </row>
    <row r="4" spans="1:24" s="105" customFormat="1" x14ac:dyDescent="0.3">
      <c r="A4" s="113" t="s">
        <v>650</v>
      </c>
      <c r="B4" s="113" t="s">
        <v>611</v>
      </c>
      <c r="C4" s="207">
        <f>C5</f>
        <v>5183253938</v>
      </c>
      <c r="D4" s="207">
        <f>D5</f>
        <v>5183253938</v>
      </c>
      <c r="E4" s="207">
        <f t="shared" ref="E4:T4" si="2">E5</f>
        <v>0</v>
      </c>
      <c r="F4" s="207">
        <f t="shared" si="2"/>
        <v>0</v>
      </c>
      <c r="G4" s="207">
        <f t="shared" si="2"/>
        <v>0</v>
      </c>
      <c r="H4" s="207">
        <f t="shared" si="2"/>
        <v>70000000</v>
      </c>
      <c r="I4" s="207">
        <f t="shared" si="2"/>
        <v>5113253938</v>
      </c>
      <c r="J4" s="207">
        <f t="shared" si="2"/>
        <v>4457084970</v>
      </c>
      <c r="K4" s="207">
        <f t="shared" si="2"/>
        <v>4457084970</v>
      </c>
      <c r="L4" s="207">
        <f t="shared" si="2"/>
        <v>4457084970</v>
      </c>
      <c r="M4" s="207">
        <f t="shared" si="2"/>
        <v>4193856104</v>
      </c>
      <c r="N4" s="207">
        <f t="shared" si="2"/>
        <v>825383899</v>
      </c>
      <c r="O4" s="207">
        <f t="shared" si="2"/>
        <v>825383899</v>
      </c>
      <c r="P4" s="207">
        <f t="shared" si="2"/>
        <v>825383899</v>
      </c>
      <c r="Q4" s="207">
        <f t="shared" si="2"/>
        <v>643725261</v>
      </c>
      <c r="R4" s="207">
        <f t="shared" si="2"/>
        <v>0</v>
      </c>
      <c r="S4" s="207">
        <f t="shared" si="2"/>
        <v>0</v>
      </c>
      <c r="T4" s="207">
        <f t="shared" si="2"/>
        <v>263228866</v>
      </c>
      <c r="U4" s="208"/>
      <c r="V4" s="208"/>
      <c r="W4" s="208"/>
      <c r="X4" s="208"/>
    </row>
    <row r="5" spans="1:24" s="105" customFormat="1" x14ac:dyDescent="0.3">
      <c r="A5" s="113" t="s">
        <v>651</v>
      </c>
      <c r="B5" s="113" t="s">
        <v>612</v>
      </c>
      <c r="C5" s="207">
        <f>C6+C16+C24</f>
        <v>5183253938</v>
      </c>
      <c r="D5" s="207">
        <f>D6+D16+D24</f>
        <v>5183253938</v>
      </c>
      <c r="E5" s="207">
        <f t="shared" ref="E5:T5" si="3">E6+E16+E24</f>
        <v>0</v>
      </c>
      <c r="F5" s="207">
        <f t="shared" si="3"/>
        <v>0</v>
      </c>
      <c r="G5" s="207">
        <f t="shared" si="3"/>
        <v>0</v>
      </c>
      <c r="H5" s="207">
        <f t="shared" si="3"/>
        <v>70000000</v>
      </c>
      <c r="I5" s="207">
        <f t="shared" si="3"/>
        <v>5113253938</v>
      </c>
      <c r="J5" s="207">
        <f t="shared" si="3"/>
        <v>4457084970</v>
      </c>
      <c r="K5" s="207">
        <f t="shared" si="3"/>
        <v>4457084970</v>
      </c>
      <c r="L5" s="207">
        <f t="shared" si="3"/>
        <v>4457084970</v>
      </c>
      <c r="M5" s="207">
        <f t="shared" si="3"/>
        <v>4193856104</v>
      </c>
      <c r="N5" s="207">
        <f t="shared" si="3"/>
        <v>825383899</v>
      </c>
      <c r="O5" s="207">
        <f t="shared" si="3"/>
        <v>825383899</v>
      </c>
      <c r="P5" s="207">
        <f t="shared" si="3"/>
        <v>825383899</v>
      </c>
      <c r="Q5" s="207">
        <f t="shared" si="3"/>
        <v>643725261</v>
      </c>
      <c r="R5" s="207">
        <f t="shared" si="3"/>
        <v>0</v>
      </c>
      <c r="S5" s="207">
        <f t="shared" si="3"/>
        <v>0</v>
      </c>
      <c r="T5" s="207">
        <f t="shared" si="3"/>
        <v>263228866</v>
      </c>
      <c r="U5" s="208"/>
      <c r="V5" s="208"/>
      <c r="W5" s="208"/>
      <c r="X5" s="208"/>
    </row>
    <row r="6" spans="1:24" s="105" customFormat="1" x14ac:dyDescent="0.3">
      <c r="A6" s="113" t="s">
        <v>652</v>
      </c>
      <c r="B6" s="113" t="s">
        <v>613</v>
      </c>
      <c r="C6" s="207">
        <f>C7</f>
        <v>3646465682</v>
      </c>
      <c r="D6" s="207">
        <f>D7</f>
        <v>3646465682</v>
      </c>
      <c r="E6" s="207">
        <f t="shared" ref="E6:T6" si="4">E7</f>
        <v>0</v>
      </c>
      <c r="F6" s="207">
        <f t="shared" si="4"/>
        <v>0</v>
      </c>
      <c r="G6" s="207">
        <f t="shared" si="4"/>
        <v>0</v>
      </c>
      <c r="H6" s="207">
        <f t="shared" si="4"/>
        <v>70000000</v>
      </c>
      <c r="I6" s="207">
        <f t="shared" si="4"/>
        <v>3576465682</v>
      </c>
      <c r="J6" s="207">
        <f t="shared" si="4"/>
        <v>3100839791</v>
      </c>
      <c r="K6" s="207">
        <f t="shared" si="4"/>
        <v>3100839791</v>
      </c>
      <c r="L6" s="207">
        <f t="shared" si="4"/>
        <v>3100839791</v>
      </c>
      <c r="M6" s="207">
        <f t="shared" si="4"/>
        <v>3100775072</v>
      </c>
      <c r="N6" s="207">
        <f t="shared" si="4"/>
        <v>477188074</v>
      </c>
      <c r="O6" s="207">
        <f t="shared" si="4"/>
        <v>477188074</v>
      </c>
      <c r="P6" s="207">
        <f t="shared" si="4"/>
        <v>477188074</v>
      </c>
      <c r="Q6" s="207">
        <f t="shared" si="4"/>
        <v>482756271</v>
      </c>
      <c r="R6" s="207">
        <f t="shared" si="4"/>
        <v>0</v>
      </c>
      <c r="S6" s="207">
        <f t="shared" si="4"/>
        <v>0</v>
      </c>
      <c r="T6" s="207">
        <f t="shared" si="4"/>
        <v>64719</v>
      </c>
      <c r="U6" s="208"/>
      <c r="V6" s="208"/>
      <c r="W6" s="208"/>
      <c r="X6" s="208"/>
    </row>
    <row r="7" spans="1:24" s="105" customFormat="1" x14ac:dyDescent="0.3">
      <c r="A7" s="113" t="s">
        <v>653</v>
      </c>
      <c r="B7" s="113" t="s">
        <v>614</v>
      </c>
      <c r="C7" s="207">
        <f>SUM(C8:C13)</f>
        <v>3646465682</v>
      </c>
      <c r="D7" s="207">
        <f>SUM(D8:D13)</f>
        <v>3646465682</v>
      </c>
      <c r="E7" s="207">
        <f t="shared" ref="E7:T7" si="5">SUM(E8:E13)</f>
        <v>0</v>
      </c>
      <c r="F7" s="207">
        <f t="shared" si="5"/>
        <v>0</v>
      </c>
      <c r="G7" s="207">
        <f t="shared" si="5"/>
        <v>0</v>
      </c>
      <c r="H7" s="207">
        <f t="shared" si="5"/>
        <v>70000000</v>
      </c>
      <c r="I7" s="207">
        <f t="shared" si="5"/>
        <v>3576465682</v>
      </c>
      <c r="J7" s="207">
        <f t="shared" si="5"/>
        <v>3100839791</v>
      </c>
      <c r="K7" s="207">
        <f t="shared" si="5"/>
        <v>3100839791</v>
      </c>
      <c r="L7" s="207">
        <f t="shared" si="5"/>
        <v>3100839791</v>
      </c>
      <c r="M7" s="207">
        <f t="shared" si="5"/>
        <v>3100775072</v>
      </c>
      <c r="N7" s="207">
        <f t="shared" si="5"/>
        <v>477188074</v>
      </c>
      <c r="O7" s="207">
        <f t="shared" si="5"/>
        <v>477188074</v>
      </c>
      <c r="P7" s="207">
        <f t="shared" si="5"/>
        <v>477188074</v>
      </c>
      <c r="Q7" s="207">
        <f t="shared" si="5"/>
        <v>482756271</v>
      </c>
      <c r="R7" s="207">
        <f t="shared" si="5"/>
        <v>0</v>
      </c>
      <c r="S7" s="207">
        <f t="shared" si="5"/>
        <v>0</v>
      </c>
      <c r="T7" s="207">
        <f t="shared" si="5"/>
        <v>64719</v>
      </c>
      <c r="U7" s="208"/>
      <c r="V7" s="208"/>
      <c r="W7" s="208"/>
      <c r="X7" s="208"/>
    </row>
    <row r="8" spans="1:24" x14ac:dyDescent="0.3">
      <c r="A8" s="111" t="s">
        <v>526</v>
      </c>
      <c r="B8" s="111" t="s">
        <v>525</v>
      </c>
      <c r="C8" s="209">
        <f>3133690501-174462375</f>
        <v>2959228126</v>
      </c>
      <c r="D8" s="209">
        <f>SUMIFS(gastos!Q:Q,gastos!M:M,ejec_ICPA!B8,gastos!P:P,ejec_ICPA!A8)</f>
        <v>2959228126</v>
      </c>
      <c r="E8" s="209">
        <f>SUMIFS(gastos!R:R,gastos!M:M,ejec_ICPA!B8,gastos!P:P,ejec_ICPA!A8)</f>
        <v>0</v>
      </c>
      <c r="F8" s="209">
        <f>SUMIFS(gastos!S:S,gastos!M:M,ejec_ICPA!B8,gastos!P:P,ejec_ICPA!A8)</f>
        <v>0</v>
      </c>
      <c r="G8" s="209">
        <f>SUMIFS(gastos!T:T,gastos!M:M,ejec_ICPA!B8,gastos!P:P,ejec_ICPA!A8)</f>
        <v>0</v>
      </c>
      <c r="H8" s="209">
        <f>SUMIFS(gastos!U:U,gastos!M:M,ejec_ICPA!B8,gastos!P:P,ejec_ICPA!A8)</f>
        <v>70000000</v>
      </c>
      <c r="I8" s="209">
        <f>D8+E8-F8+G8-H8</f>
        <v>2889228126</v>
      </c>
      <c r="J8" s="209">
        <f>SUMIFS(gastos!W:W,gastos!M:M,ejec_ICPA!B8,gastos!P:P,ejec_ICPA!A8)</f>
        <v>2513047313</v>
      </c>
      <c r="K8" s="209">
        <f>SUMIFS(gastos!$X:$X,gastos!$M:$M,ejec_ICPA!$B8,gastos!$P:$P,ejec_ICPA!$A8)</f>
        <v>2513047313</v>
      </c>
      <c r="L8" s="209">
        <f>SUMIFS(gastos!$Z:$Z,gastos!$M:$M,ejec_ICPA!$B8,gastos!$P:$P,ejec_ICPA!$A8)</f>
        <v>2513047313</v>
      </c>
      <c r="M8" s="209">
        <f>SUMIFS(gastos!$AE:$AE,gastos!$M:$M,ejec_ICPA!$B8,gastos!$P:$P,ejec_ICPA!$A8)</f>
        <v>2513047313</v>
      </c>
      <c r="N8" s="209">
        <f>SUMIFS(gastos!AG:AG,gastos!$M:$M,ejec_ICPA!B8,gastos!$P:$P,ejec_ICPA!A8)</f>
        <v>218799406</v>
      </c>
      <c r="O8" s="209">
        <f>SUMIFS(gastos!AH:AH,gastos!$M:$M,ejec_ICPA!$B8,gastos!$P:$P,ejec_ICPA!$A8)</f>
        <v>218799406</v>
      </c>
      <c r="P8" s="209">
        <f>SUMIFS(gastos!$AF:$AF,gastos!$M:$M,ejec_ICPA!$B8,gastos!$P:$P,ejec_ICPA!$A8)</f>
        <v>218799406</v>
      </c>
      <c r="Q8" s="209">
        <f>SUMIFS(gastos!AJ:AJ,gastos!$M:$M,ejec_ICPA!$B8,gastos!$P:$P,ejec_ICPA!$A8)</f>
        <v>218799406</v>
      </c>
      <c r="R8" s="209">
        <f>K8-L8</f>
        <v>0</v>
      </c>
      <c r="S8" s="209">
        <f>L8-J8</f>
        <v>0</v>
      </c>
      <c r="T8" s="209">
        <f>J8-M8</f>
        <v>0</v>
      </c>
    </row>
    <row r="9" spans="1:24" x14ac:dyDescent="0.3">
      <c r="A9" s="111" t="s">
        <v>528</v>
      </c>
      <c r="B9" s="111" t="s">
        <v>527</v>
      </c>
      <c r="C9" s="209">
        <v>48580516</v>
      </c>
      <c r="D9" s="209">
        <f>SUMIFS(gastos!Q:Q,gastos!M:M,ejec_ICPA!B9,gastos!P:P,ejec_ICPA!A9)</f>
        <v>48580516</v>
      </c>
      <c r="E9" s="209">
        <f>SUMIFS(gastos!R:R,gastos!M:M,ejec_ICPA!B9,gastos!P:P,ejec_ICPA!A9)</f>
        <v>0</v>
      </c>
      <c r="F9" s="209">
        <f>SUMIFS(gastos!S:S,gastos!M:M,ejec_ICPA!B9,gastos!P:P,ejec_ICPA!A9)</f>
        <v>0</v>
      </c>
      <c r="G9" s="209">
        <f>SUMIFS(gastos!T:T,gastos!M:M,ejec_ICPA!B9,gastos!P:P,ejec_ICPA!A9)</f>
        <v>0</v>
      </c>
      <c r="H9" s="209">
        <f>SUMIFS(gastos!U:U,gastos!M:M,ejec_ICPA!B9,gastos!P:P,ejec_ICPA!A9)</f>
        <v>0</v>
      </c>
      <c r="I9" s="209">
        <f t="shared" ref="I9:I12" si="6">D9+E9-F9+G9-H9</f>
        <v>48580516</v>
      </c>
      <c r="J9" s="209">
        <f>SUMIFS(gastos!W:W,gastos!M:M,ejec_ICPA!B9,gastos!P:P,ejec_ICPA!A9)</f>
        <v>16427205</v>
      </c>
      <c r="K9" s="209">
        <f>SUMIFS(gastos!X:X,gastos!$M:$M,ejec_ICPA!B9,gastos!$P:$P,ejec_ICPA!A9)</f>
        <v>16427205</v>
      </c>
      <c r="L9" s="209">
        <f>SUMIFS(gastos!$Z:$Z,gastos!$M:$M,ejec_ICPA!$B9,gastos!$P:$P,ejec_ICPA!$A9)</f>
        <v>16427205</v>
      </c>
      <c r="M9" s="209">
        <f>SUMIFS(gastos!$AE:$AE,gastos!$M:$M,ejec_ICPA!$B9,gastos!$P:$P,ejec_ICPA!$A9)</f>
        <v>16427205</v>
      </c>
      <c r="N9" s="209">
        <f>SUMIFS(gastos!AG:AG,gastos!$M:$M,ejec_ICPA!B9,gastos!$P:$P,ejec_ICPA!A9)</f>
        <v>401768</v>
      </c>
      <c r="O9" s="209">
        <f>SUMIFS(gastos!AH:AH,gastos!$M:$M,ejec_ICPA!$B9,gastos!$P:$P,ejec_ICPA!$A9)</f>
        <v>401768</v>
      </c>
      <c r="P9" s="209">
        <f>SUMIFS(gastos!$AF:$AF,gastos!$M:$M,ejec_ICPA!$B9,gastos!$P:$P,ejec_ICPA!$A9)</f>
        <v>401768</v>
      </c>
      <c r="Q9" s="209">
        <f>SUMIFS(gastos!AJ:AJ,gastos!$M:$M,ejec_ICPA!$B9,gastos!$P:$P,ejec_ICPA!$A9)</f>
        <v>401768</v>
      </c>
      <c r="R9" s="209">
        <f t="shared" ref="R9:R12" si="7">K9-L9</f>
        <v>0</v>
      </c>
      <c r="S9" s="209">
        <f t="shared" ref="S9:S12" si="8">L9-J9</f>
        <v>0</v>
      </c>
      <c r="T9" s="209">
        <f t="shared" ref="T9:T12" si="9">J9-M9</f>
        <v>0</v>
      </c>
    </row>
    <row r="10" spans="1:24" x14ac:dyDescent="0.3">
      <c r="A10" s="111" t="s">
        <v>530</v>
      </c>
      <c r="B10" s="111" t="s">
        <v>529</v>
      </c>
      <c r="C10" s="209">
        <v>367200</v>
      </c>
      <c r="D10" s="209">
        <f>SUMIFS(gastos!Q:Q,gastos!M:M,ejec_ICPA!B10,gastos!P:P,ejec_ICPA!A10)</f>
        <v>367200</v>
      </c>
      <c r="E10" s="209">
        <f>SUMIFS(gastos!R:R,gastos!M:M,ejec_ICPA!B10,gastos!P:P,ejec_ICPA!A10)</f>
        <v>0</v>
      </c>
      <c r="F10" s="209">
        <f>SUMIFS(gastos!S:S,gastos!M:M,ejec_ICPA!B10,gastos!P:P,ejec_ICPA!A10)</f>
        <v>0</v>
      </c>
      <c r="G10" s="209">
        <f>SUMIFS(gastos!T:T,gastos!M:M,ejec_ICPA!B10,gastos!P:P,ejec_ICPA!A10)</f>
        <v>0</v>
      </c>
      <c r="H10" s="209">
        <f>SUMIFS(gastos!U:U,gastos!M:M,ejec_ICPA!B10,gastos!P:P,ejec_ICPA!A10)</f>
        <v>0</v>
      </c>
      <c r="I10" s="209">
        <f t="shared" si="6"/>
        <v>367200</v>
      </c>
      <c r="J10" s="209">
        <f>SUMIFS(gastos!W:W,gastos!M:M,ejec_ICPA!B10,gastos!P:P,ejec_ICPA!A10)</f>
        <v>345000</v>
      </c>
      <c r="K10" s="209">
        <f>SUMIFS(gastos!X:X,gastos!$M:$M,ejec_ICPA!B10,gastos!$P:$P,ejec_ICPA!A10)</f>
        <v>345000</v>
      </c>
      <c r="L10" s="209">
        <f>SUMIFS(gastos!$Z:$Z,gastos!$M:$M,ejec_ICPA!$B10,gastos!$P:$P,ejec_ICPA!$A10)</f>
        <v>345000</v>
      </c>
      <c r="M10" s="209">
        <f>SUMIFS(gastos!$AE:$AE,gastos!$M:$M,ejec_ICPA!$B10,gastos!$P:$P,ejec_ICPA!$A10)</f>
        <v>345000</v>
      </c>
      <c r="N10" s="209">
        <f>SUMIFS(gastos!AG:AG,gastos!$M:$M,ejec_ICPA!B10,gastos!$P:$P,ejec_ICPA!A10)</f>
        <v>28500</v>
      </c>
      <c r="O10" s="209">
        <f>SUMIFS(gastos!AH:AH,gastos!$M:$M,ejec_ICPA!$B10,gastos!$P:$P,ejec_ICPA!$A10)</f>
        <v>28500</v>
      </c>
      <c r="P10" s="209">
        <f>SUMIFS(gastos!$AF:$AF,gastos!$M:$M,ejec_ICPA!$B10,gastos!$P:$P,ejec_ICPA!$A10)</f>
        <v>28500</v>
      </c>
      <c r="Q10" s="209">
        <f>SUMIFS(gastos!AJ:AJ,gastos!$M:$M,ejec_ICPA!$B10,gastos!$P:$P,ejec_ICPA!$A10)</f>
        <v>28500</v>
      </c>
      <c r="R10" s="209">
        <f t="shared" si="7"/>
        <v>0</v>
      </c>
      <c r="S10" s="209">
        <f t="shared" si="8"/>
        <v>0</v>
      </c>
      <c r="T10" s="209">
        <f t="shared" si="9"/>
        <v>0</v>
      </c>
    </row>
    <row r="11" spans="1:24" x14ac:dyDescent="0.3">
      <c r="A11" s="111" t="s">
        <v>532</v>
      </c>
      <c r="B11" s="111" t="s">
        <v>531</v>
      </c>
      <c r="C11" s="209">
        <v>125081046</v>
      </c>
      <c r="D11" s="209">
        <f>SUMIFS(gastos!Q:Q,gastos!M:M,ejec_ICPA!B11,gastos!P:P,ejec_ICPA!A11)</f>
        <v>125081046</v>
      </c>
      <c r="E11" s="209">
        <f>SUMIFS(gastos!R:R,gastos!M:M,ejec_ICPA!B11,gastos!P:P,ejec_ICPA!A11)</f>
        <v>0</v>
      </c>
      <c r="F11" s="209">
        <f>SUMIFS(gastos!S:S,gastos!M:M,ejec_ICPA!B11,gastos!P:P,ejec_ICPA!A11)</f>
        <v>0</v>
      </c>
      <c r="G11" s="209">
        <f>SUMIFS(gastos!T:T,gastos!M:M,ejec_ICPA!B11,gastos!P:P,ejec_ICPA!A11)</f>
        <v>0</v>
      </c>
      <c r="H11" s="209">
        <f>SUMIFS(gastos!U:U,gastos!M:M,ejec_ICPA!B11,gastos!P:P,ejec_ICPA!A11)</f>
        <v>0</v>
      </c>
      <c r="I11" s="209">
        <f t="shared" si="6"/>
        <v>125081046</v>
      </c>
      <c r="J11" s="209">
        <f>SUMIFS(gastos!W:W,gastos!M:M,ejec_ICPA!B11,gastos!P:P,ejec_ICPA!A11)</f>
        <v>116234892</v>
      </c>
      <c r="K11" s="209">
        <f>SUMIFS(gastos!X:X,gastos!$M:$M,ejec_ICPA!B11,gastos!$P:$P,ejec_ICPA!A11)</f>
        <v>116234892</v>
      </c>
      <c r="L11" s="209">
        <f>SUMIFS(gastos!$Z:$Z,gastos!$M:$M,ejec_ICPA!$B11,gastos!$P:$P,ejec_ICPA!$A11)</f>
        <v>116234892</v>
      </c>
      <c r="M11" s="209">
        <f>SUMIFS(gastos!$AE:$AE,gastos!$M:$M,ejec_ICPA!$B11,gastos!$P:$P,ejec_ICPA!$A11)</f>
        <v>116213880</v>
      </c>
      <c r="N11" s="209">
        <f>SUMIFS(gastos!AG:AG,gastos!$M:$M,ejec_ICPA!B11,gastos!$P:$P,ejec_ICPA!A11)</f>
        <v>-1412721</v>
      </c>
      <c r="O11" s="209">
        <f>SUMIFS(gastos!AH:AH,gastos!$M:$M,ejec_ICPA!$B11,gastos!$P:$P,ejec_ICPA!$A11)</f>
        <v>-1412721</v>
      </c>
      <c r="P11" s="209">
        <f>SUMIFS(gastos!$AF:$AF,gastos!$M:$M,ejec_ICPA!$B11,gastos!$P:$P,ejec_ICPA!$A11)</f>
        <v>-1412721</v>
      </c>
      <c r="Q11" s="209">
        <f>SUMIFS(gastos!AJ:AJ,gastos!$M:$M,ejec_ICPA!$B11,gastos!$P:$P,ejec_ICPA!$A11)</f>
        <v>-783140</v>
      </c>
      <c r="R11" s="209">
        <f t="shared" si="7"/>
        <v>0</v>
      </c>
      <c r="S11" s="209">
        <f t="shared" si="8"/>
        <v>0</v>
      </c>
      <c r="T11" s="209">
        <f t="shared" si="9"/>
        <v>21012</v>
      </c>
    </row>
    <row r="12" spans="1:24" x14ac:dyDescent="0.3">
      <c r="A12" s="111" t="s">
        <v>534</v>
      </c>
      <c r="B12" s="111" t="s">
        <v>533</v>
      </c>
      <c r="C12" s="209">
        <v>86363745</v>
      </c>
      <c r="D12" s="209">
        <f>SUMIFS(gastos!Q:Q,gastos!M:M,ejec_ICPA!B12,gastos!P:P,ejec_ICPA!A12)</f>
        <v>86363745</v>
      </c>
      <c r="E12" s="209">
        <f>SUMIFS(gastos!R:R,gastos!M:M,ejec_ICPA!B12,gastos!P:P,ejec_ICPA!A12)</f>
        <v>0</v>
      </c>
      <c r="F12" s="209">
        <f>SUMIFS(gastos!S:S,gastos!M:M,ejec_ICPA!B12,gastos!P:P,ejec_ICPA!A12)</f>
        <v>0</v>
      </c>
      <c r="G12" s="209">
        <f>SUMIFS(gastos!T:T,gastos!M:M,ejec_ICPA!B12,gastos!P:P,ejec_ICPA!A12)</f>
        <v>0</v>
      </c>
      <c r="H12" s="209">
        <f>SUMIFS(gastos!U:U,gastos!M:M,ejec_ICPA!B12,gastos!P:P,ejec_ICPA!A12)</f>
        <v>0</v>
      </c>
      <c r="I12" s="209">
        <f t="shared" si="6"/>
        <v>86363745</v>
      </c>
      <c r="J12" s="209">
        <f>SUMIFS(gastos!W:W,gastos!M:M,ejec_ICPA!B12,gastos!P:P,ejec_ICPA!A12)</f>
        <v>77827488</v>
      </c>
      <c r="K12" s="209">
        <f>SUMIFS(gastos!X:X,gastos!$M:$M,ejec_ICPA!B12,gastos!$P:$P,ejec_ICPA!A12)</f>
        <v>77827488</v>
      </c>
      <c r="L12" s="209">
        <f>SUMIFS(gastos!$Z:$Z,gastos!$M:$M,ejec_ICPA!$B12,gastos!$P:$P,ejec_ICPA!$A12)</f>
        <v>77827488</v>
      </c>
      <c r="M12" s="209">
        <f>SUMIFS(gastos!$AE:$AE,gastos!$M:$M,ejec_ICPA!$B12,gastos!$P:$P,ejec_ICPA!$A12)</f>
        <v>77816948</v>
      </c>
      <c r="N12" s="209">
        <f>SUMIFS(gastos!AG:AG,gastos!$M:$M,ejec_ICPA!B12,gastos!$P:$P,ejec_ICPA!A12)</f>
        <v>784705</v>
      </c>
      <c r="O12" s="209">
        <f>SUMIFS(gastos!AH:AH,gastos!$M:$M,ejec_ICPA!$B12,gastos!$P:$P,ejec_ICPA!$A12)</f>
        <v>784705</v>
      </c>
      <c r="P12" s="209">
        <f>SUMIFS(gastos!$AF:$AF,gastos!$M:$M,ejec_ICPA!$B12,gastos!$P:$P,ejec_ICPA!$A12)</f>
        <v>784705</v>
      </c>
      <c r="Q12" s="209">
        <f>SUMIFS(gastos!AJ:AJ,gastos!$M:$M,ejec_ICPA!$B12,gastos!$P:$P,ejec_ICPA!$A12)</f>
        <v>1069137</v>
      </c>
      <c r="R12" s="209">
        <f t="shared" si="7"/>
        <v>0</v>
      </c>
      <c r="S12" s="209">
        <f t="shared" si="8"/>
        <v>0</v>
      </c>
      <c r="T12" s="209">
        <f t="shared" si="9"/>
        <v>10540</v>
      </c>
    </row>
    <row r="13" spans="1:24" s="105" customFormat="1" x14ac:dyDescent="0.3">
      <c r="A13" s="113" t="s">
        <v>654</v>
      </c>
      <c r="B13" s="113" t="s">
        <v>615</v>
      </c>
      <c r="C13" s="207">
        <f>SUM(C14:C15)</f>
        <v>426845049</v>
      </c>
      <c r="D13" s="207">
        <f>SUM(D14:D15)</f>
        <v>426845049</v>
      </c>
      <c r="E13" s="207">
        <f t="shared" ref="E13:T13" si="10">SUM(E14:E15)</f>
        <v>0</v>
      </c>
      <c r="F13" s="207">
        <f t="shared" si="10"/>
        <v>0</v>
      </c>
      <c r="G13" s="207">
        <f t="shared" si="10"/>
        <v>0</v>
      </c>
      <c r="H13" s="207">
        <f t="shared" si="10"/>
        <v>0</v>
      </c>
      <c r="I13" s="207">
        <f t="shared" si="10"/>
        <v>426845049</v>
      </c>
      <c r="J13" s="207">
        <f t="shared" si="10"/>
        <v>376957893</v>
      </c>
      <c r="K13" s="207">
        <f t="shared" si="10"/>
        <v>376957893</v>
      </c>
      <c r="L13" s="207">
        <f t="shared" si="10"/>
        <v>376957893</v>
      </c>
      <c r="M13" s="207">
        <f t="shared" si="10"/>
        <v>376924726</v>
      </c>
      <c r="N13" s="207">
        <f t="shared" si="10"/>
        <v>258586416</v>
      </c>
      <c r="O13" s="207">
        <f t="shared" si="10"/>
        <v>258586416</v>
      </c>
      <c r="P13" s="207">
        <f t="shared" si="10"/>
        <v>258586416</v>
      </c>
      <c r="Q13" s="207">
        <f t="shared" si="10"/>
        <v>263240600</v>
      </c>
      <c r="R13" s="207">
        <f t="shared" si="10"/>
        <v>0</v>
      </c>
      <c r="S13" s="207">
        <f t="shared" si="10"/>
        <v>0</v>
      </c>
      <c r="T13" s="207">
        <f t="shared" si="10"/>
        <v>33167</v>
      </c>
      <c r="U13" s="208"/>
      <c r="V13" s="208"/>
      <c r="W13" s="208"/>
      <c r="X13" s="208"/>
    </row>
    <row r="14" spans="1:24" x14ac:dyDescent="0.3">
      <c r="A14" s="111" t="s">
        <v>536</v>
      </c>
      <c r="B14" s="111" t="s">
        <v>535</v>
      </c>
      <c r="C14" s="209">
        <v>273073936</v>
      </c>
      <c r="D14" s="209">
        <f>SUMIFS(gastos!Q:Q,gastos!M:M,ejec_ICPA!B14,gastos!P:P,ejec_ICPA!A14)</f>
        <v>273073936</v>
      </c>
      <c r="E14" s="209">
        <f>SUMIFS(gastos!R:R,gastos!M:M,ejec_ICPA!B14,gastos!P:P,ejec_ICPA!A14)</f>
        <v>0</v>
      </c>
      <c r="F14" s="209">
        <f>SUMIFS(gastos!S:S,gastos!M:M,ejec_ICPA!B14,gastos!P:P,ejec_ICPA!A14)</f>
        <v>0</v>
      </c>
      <c r="G14" s="209">
        <f>SUMIFS(gastos!T:T,gastos!M:M,ejec_ICPA!B14,gastos!P:P,ejec_ICPA!A14)</f>
        <v>0</v>
      </c>
      <c r="H14" s="209">
        <f>SUMIFS(gastos!U:U,gastos!M:M,ejec_ICPA!B14,gastos!P:P,ejec_ICPA!A14)</f>
        <v>0</v>
      </c>
      <c r="I14" s="209">
        <f t="shared" ref="I14:I15" si="11">D14+E14-F14+G14-H14</f>
        <v>273073936</v>
      </c>
      <c r="J14" s="209">
        <f>SUMIFS(gastos!W:W,gastos!M:M,ejec_ICPA!B14,gastos!P:P,ejec_ICPA!A14)</f>
        <v>251001407</v>
      </c>
      <c r="K14" s="209">
        <f>SUMIFS(gastos!X:X,gastos!$M:$M,ejec_ICPA!B14,gastos!$P:$P,ejec_ICPA!A14)</f>
        <v>251001407</v>
      </c>
      <c r="L14" s="209">
        <f>SUMIFS(gastos!$Z:$Z,gastos!$M:$M,ejec_ICPA!$B14,gastos!$P:$P,ejec_ICPA!$A14)</f>
        <v>251001407</v>
      </c>
      <c r="M14" s="209">
        <f>SUMIFS(gastos!$AE:$AE,gastos!$M:$M,ejec_ICPA!$B14,gastos!$P:$P,ejec_ICPA!$A14)</f>
        <v>250983298</v>
      </c>
      <c r="N14" s="209">
        <f>SUMIFS(gastos!AG:AG,gastos!$M:$M,ejec_ICPA!B14,gastos!$P:$P,ejec_ICPA!A14)</f>
        <v>244925542</v>
      </c>
      <c r="O14" s="209">
        <f>SUMIFS(gastos!AH:AH,gastos!$M:$M,ejec_ICPA!$B14,gastos!$P:$P,ejec_ICPA!$A14)</f>
        <v>244925542</v>
      </c>
      <c r="P14" s="209">
        <f>SUMIFS(gastos!$AF:$AF,gastos!$M:$M,ejec_ICPA!$B14,gastos!$P:$P,ejec_ICPA!$A14)</f>
        <v>244925542</v>
      </c>
      <c r="Q14" s="209">
        <f>SUMIFS(gastos!AJ:AJ,gastos!$M:$M,ejec_ICPA!$B14,gastos!$P:$P,ejec_ICPA!$A14)</f>
        <v>249142991</v>
      </c>
      <c r="R14" s="209">
        <f t="shared" ref="R14:R15" si="12">K14-L14</f>
        <v>0</v>
      </c>
      <c r="S14" s="209">
        <f t="shared" ref="S14:S15" si="13">L14-J14</f>
        <v>0</v>
      </c>
      <c r="T14" s="209">
        <f t="shared" ref="T14:T15" si="14">J14-M14</f>
        <v>18109</v>
      </c>
    </row>
    <row r="15" spans="1:24" x14ac:dyDescent="0.3">
      <c r="A15" s="111" t="s">
        <v>538</v>
      </c>
      <c r="B15" s="111" t="s">
        <v>537</v>
      </c>
      <c r="C15" s="209">
        <v>153771113</v>
      </c>
      <c r="D15" s="209">
        <f>SUMIFS(gastos!Q:Q,gastos!M:M,ejec_ICPA!B15,gastos!P:P,ejec_ICPA!A15)</f>
        <v>153771113</v>
      </c>
      <c r="E15" s="209">
        <f>SUMIFS(gastos!R:R,gastos!M:M,ejec_ICPA!B15,gastos!P:P,ejec_ICPA!A15)</f>
        <v>0</v>
      </c>
      <c r="F15" s="209">
        <f>SUMIFS(gastos!S:S,gastos!M:M,ejec_ICPA!B15,gastos!P:P,ejec_ICPA!A15)</f>
        <v>0</v>
      </c>
      <c r="G15" s="209">
        <f>SUMIFS(gastos!T:T,gastos!M:M,ejec_ICPA!B15,gastos!P:P,ejec_ICPA!A15)</f>
        <v>0</v>
      </c>
      <c r="H15" s="209">
        <f>SUMIFS(gastos!U:U,gastos!M:M,ejec_ICPA!B15,gastos!P:P,ejec_ICPA!A15)</f>
        <v>0</v>
      </c>
      <c r="I15" s="209">
        <f t="shared" si="11"/>
        <v>153771113</v>
      </c>
      <c r="J15" s="209">
        <f>SUMIFS(gastos!W:W,gastos!M:M,ejec_ICPA!B15,gastos!P:P,ejec_ICPA!A15)</f>
        <v>125956486</v>
      </c>
      <c r="K15" s="209">
        <f>SUMIFS(gastos!X:X,gastos!$M:$M,ejec_ICPA!B15,gastos!$P:$P,ejec_ICPA!A15)</f>
        <v>125956486</v>
      </c>
      <c r="L15" s="209">
        <f>SUMIFS(gastos!$Z:$Z,gastos!$M:$M,ejec_ICPA!$B15,gastos!$P:$P,ejec_ICPA!$A15)</f>
        <v>125956486</v>
      </c>
      <c r="M15" s="209">
        <f>SUMIFS(gastos!$AE:$AE,gastos!$M:$M,ejec_ICPA!$B15,gastos!$P:$P,ejec_ICPA!$A15)</f>
        <v>125941428</v>
      </c>
      <c r="N15" s="209">
        <f>SUMIFS(gastos!AG:AG,gastos!$M:$M,ejec_ICPA!B15,gastos!$P:$P,ejec_ICPA!A15)</f>
        <v>13660874</v>
      </c>
      <c r="O15" s="209">
        <f>SUMIFS(gastos!AH:AH,gastos!$M:$M,ejec_ICPA!$B15,gastos!$P:$P,ejec_ICPA!$A15)</f>
        <v>13660874</v>
      </c>
      <c r="P15" s="209">
        <f>SUMIFS(gastos!$AF:$AF,gastos!$M:$M,ejec_ICPA!$B15,gastos!$P:$P,ejec_ICPA!$A15)</f>
        <v>13660874</v>
      </c>
      <c r="Q15" s="209">
        <f>SUMIFS(gastos!AJ:AJ,gastos!$M:$M,ejec_ICPA!$B15,gastos!$P:$P,ejec_ICPA!$A15)</f>
        <v>14097609</v>
      </c>
      <c r="R15" s="209">
        <f t="shared" si="12"/>
        <v>0</v>
      </c>
      <c r="S15" s="209">
        <f t="shared" si="13"/>
        <v>0</v>
      </c>
      <c r="T15" s="209">
        <f t="shared" si="14"/>
        <v>15058</v>
      </c>
    </row>
    <row r="16" spans="1:24" s="105" customFormat="1" x14ac:dyDescent="0.3">
      <c r="A16" s="113" t="s">
        <v>655</v>
      </c>
      <c r="B16" s="113" t="s">
        <v>616</v>
      </c>
      <c r="C16" s="207">
        <f>SUM(C17:C23)</f>
        <v>1320532123</v>
      </c>
      <c r="D16" s="207">
        <f>SUM(D17:D23)</f>
        <v>1320532123</v>
      </c>
      <c r="E16" s="207">
        <f t="shared" ref="E16:T16" si="15">SUM(E17:E23)</f>
        <v>0</v>
      </c>
      <c r="F16" s="207">
        <f t="shared" si="15"/>
        <v>0</v>
      </c>
      <c r="G16" s="207">
        <f t="shared" si="15"/>
        <v>0</v>
      </c>
      <c r="H16" s="207">
        <f t="shared" si="15"/>
        <v>0</v>
      </c>
      <c r="I16" s="207">
        <f t="shared" si="15"/>
        <v>1320532123</v>
      </c>
      <c r="J16" s="207">
        <f t="shared" si="15"/>
        <v>1170395127</v>
      </c>
      <c r="K16" s="207">
        <f t="shared" si="15"/>
        <v>1170395127</v>
      </c>
      <c r="L16" s="207">
        <f t="shared" si="15"/>
        <v>1170395127</v>
      </c>
      <c r="M16" s="207">
        <f t="shared" si="15"/>
        <v>907256314</v>
      </c>
      <c r="N16" s="207">
        <f t="shared" si="15"/>
        <v>335836293</v>
      </c>
      <c r="O16" s="207">
        <f t="shared" si="15"/>
        <v>335836293</v>
      </c>
      <c r="P16" s="207">
        <f t="shared" si="15"/>
        <v>335836293</v>
      </c>
      <c r="Q16" s="207">
        <f t="shared" si="15"/>
        <v>147765380</v>
      </c>
      <c r="R16" s="207">
        <f t="shared" si="15"/>
        <v>0</v>
      </c>
      <c r="S16" s="207">
        <f t="shared" si="15"/>
        <v>0</v>
      </c>
      <c r="T16" s="207">
        <f t="shared" si="15"/>
        <v>263138813</v>
      </c>
      <c r="U16" s="208"/>
      <c r="V16" s="208"/>
      <c r="W16" s="208"/>
      <c r="X16" s="208"/>
    </row>
    <row r="17" spans="1:24" x14ac:dyDescent="0.3">
      <c r="A17" s="111" t="s">
        <v>540</v>
      </c>
      <c r="B17" s="111" t="s">
        <v>539</v>
      </c>
      <c r="C17" s="209">
        <f>192091961+196858459</f>
        <v>388950420</v>
      </c>
      <c r="D17" s="209">
        <f>SUMIFS(gastos!Q:Q,gastos!M:M,ejec_ICPA!B17,gastos!P:P,ejec_ICPA!A17)</f>
        <v>388950420</v>
      </c>
      <c r="E17" s="209">
        <f>SUMIFS(gastos!R:R,gastos!M:M,ejec_ICPA!B17,gastos!P:P,ejec_ICPA!A17)</f>
        <v>0</v>
      </c>
      <c r="F17" s="209">
        <f>SUMIFS(gastos!S:S,gastos!M:M,ejec_ICPA!B17,gastos!P:P,ejec_ICPA!A17)</f>
        <v>0</v>
      </c>
      <c r="G17" s="209">
        <f>SUMIFS(gastos!T:T,gastos!M:M,ejec_ICPA!B17,gastos!P:P,ejec_ICPA!A17)</f>
        <v>0</v>
      </c>
      <c r="H17" s="209">
        <f>SUMIFS(gastos!U:U,gastos!M:M,ejec_ICPA!B17,gastos!P:P,ejec_ICPA!A17)</f>
        <v>0</v>
      </c>
      <c r="I17" s="209">
        <f t="shared" ref="I17:I23" si="16">D17+E17-F17+G17-H17</f>
        <v>388950420</v>
      </c>
      <c r="J17" s="209">
        <f>SUMIFS(gastos!W:W,gastos!M:M,ejec_ICPA!B17,gastos!P:P,ejec_ICPA!A17)</f>
        <v>335380139</v>
      </c>
      <c r="K17" s="209">
        <f>SUMIFS(gastos!X:X,gastos!$M:$M,ejec_ICPA!B17,gastos!$P:$P,ejec_ICPA!A17)</f>
        <v>335380139</v>
      </c>
      <c r="L17" s="209">
        <f>SUMIFS(gastos!$Z:$Z,gastos!$M:$M,ejec_ICPA!$B17,gastos!$P:$P,ejec_ICPA!$A17)</f>
        <v>335380139</v>
      </c>
      <c r="M17" s="209">
        <f>SUMIFS(gastos!$AE:$AE,gastos!$M:$M,ejec_ICPA!$B17,gastos!$P:$P,ejec_ICPA!$A17)</f>
        <v>335380139</v>
      </c>
      <c r="N17" s="209">
        <f>SUMIFS(gastos!AG:AG,gastos!$M:$M,ejec_ICPA!B17,gastos!$P:$P,ejec_ICPA!A17)</f>
        <v>27188968</v>
      </c>
      <c r="O17" s="209">
        <f>SUMIFS(gastos!AH:AH,gastos!$M:$M,ejec_ICPA!$B17,gastos!$P:$P,ejec_ICPA!$A17)</f>
        <v>27188968</v>
      </c>
      <c r="P17" s="209">
        <f>SUMIFS(gastos!$AF:$AF,gastos!$M:$M,ejec_ICPA!$B17,gastos!$P:$P,ejec_ICPA!$A17)</f>
        <v>27188968</v>
      </c>
      <c r="Q17" s="209">
        <f>SUMIFS(gastos!AJ:AJ,gastos!$M:$M,ejec_ICPA!$B17,gastos!$P:$P,ejec_ICPA!$A17)</f>
        <v>55199068</v>
      </c>
      <c r="R17" s="209">
        <f t="shared" ref="R17:R23" si="17">K17-L17</f>
        <v>0</v>
      </c>
      <c r="S17" s="209">
        <f t="shared" ref="S17:S23" si="18">L17-J17</f>
        <v>0</v>
      </c>
      <c r="T17" s="209">
        <f t="shared" ref="T17:T23" si="19">J17-M17</f>
        <v>0</v>
      </c>
    </row>
    <row r="18" spans="1:24" x14ac:dyDescent="0.3">
      <c r="A18" s="111" t="s">
        <v>542</v>
      </c>
      <c r="B18" s="111" t="s">
        <v>541</v>
      </c>
      <c r="C18" s="209">
        <v>275506548</v>
      </c>
      <c r="D18" s="209">
        <f>SUMIFS(gastos!Q:Q,gastos!M:M,ejec_ICPA!B18,gastos!P:P,ejec_ICPA!A18)</f>
        <v>275506548</v>
      </c>
      <c r="E18" s="209">
        <f>SUMIFS(gastos!R:R,gastos!M:M,ejec_ICPA!B18,gastos!P:P,ejec_ICPA!A18)</f>
        <v>0</v>
      </c>
      <c r="F18" s="209">
        <f>SUMIFS(gastos!S:S,gastos!M:M,ejec_ICPA!B18,gastos!P:P,ejec_ICPA!A18)</f>
        <v>0</v>
      </c>
      <c r="G18" s="209">
        <f>SUMIFS(gastos!T:T,gastos!M:M,ejec_ICPA!B18,gastos!P:P,ejec_ICPA!A18)</f>
        <v>0</v>
      </c>
      <c r="H18" s="209">
        <f>SUMIFS(gastos!U:U,gastos!M:M,ejec_ICPA!B18,gastos!P:P,ejec_ICPA!A18)</f>
        <v>0</v>
      </c>
      <c r="I18" s="209">
        <f t="shared" si="16"/>
        <v>275506548</v>
      </c>
      <c r="J18" s="209">
        <f>SUMIFS(gastos!W:W,gastos!M:M,ejec_ICPA!B18,gastos!P:P,ejec_ICPA!A18)</f>
        <v>237576175</v>
      </c>
      <c r="K18" s="209">
        <f>SUMIFS(gastos!X:X,gastos!$M:$M,ejec_ICPA!B18,gastos!$P:$P,ejec_ICPA!A18)</f>
        <v>237576175</v>
      </c>
      <c r="L18" s="209">
        <f>SUMIFS(gastos!$Z:$Z,gastos!$M:$M,ejec_ICPA!$B18,gastos!$P:$P,ejec_ICPA!$A18)</f>
        <v>237576175</v>
      </c>
      <c r="M18" s="209">
        <f>SUMIFS(gastos!$AE:$AE,gastos!$M:$M,ejec_ICPA!$B18,gastos!$P:$P,ejec_ICPA!$A18)</f>
        <v>237576175</v>
      </c>
      <c r="N18" s="209">
        <f>SUMIFS(gastos!AG:AG,gastos!$M:$M,ejec_ICPA!B18,gastos!$P:$P,ejec_ICPA!A18)</f>
        <v>19259412</v>
      </c>
      <c r="O18" s="209">
        <f>SUMIFS(gastos!AH:AH,gastos!$M:$M,ejec_ICPA!$B18,gastos!$P:$P,ejec_ICPA!$A18)</f>
        <v>19259412</v>
      </c>
      <c r="P18" s="209">
        <f>SUMIFS(gastos!$AF:$AF,gastos!$M:$M,ejec_ICPA!$B18,gastos!$P:$P,ejec_ICPA!$A18)</f>
        <v>19259412</v>
      </c>
      <c r="Q18" s="209">
        <f>SUMIFS(gastos!AJ:AJ,gastos!$M:$M,ejec_ICPA!$B18,gastos!$P:$P,ejec_ICPA!$A18)</f>
        <v>39100912</v>
      </c>
      <c r="R18" s="209">
        <f t="shared" si="17"/>
        <v>0</v>
      </c>
      <c r="S18" s="209">
        <f t="shared" si="18"/>
        <v>0</v>
      </c>
      <c r="T18" s="209">
        <f t="shared" si="19"/>
        <v>0</v>
      </c>
    </row>
    <row r="19" spans="1:24" x14ac:dyDescent="0.3">
      <c r="A19" s="111" t="s">
        <v>544</v>
      </c>
      <c r="B19" s="111" t="s">
        <v>543</v>
      </c>
      <c r="C19" s="209">
        <f>36467089+226671724</f>
        <v>263138813</v>
      </c>
      <c r="D19" s="209">
        <f>SUMIFS(gastos!Q:Q,gastos!M:M,ejec_ICPA!B19,gastos!P:P,ejec_ICPA!A19)</f>
        <v>263138813</v>
      </c>
      <c r="E19" s="209">
        <f>SUMIFS(gastos!R:R,gastos!M:M,ejec_ICPA!B19,gastos!P:P,ejec_ICPA!A19)</f>
        <v>0</v>
      </c>
      <c r="F19" s="209">
        <f>SUMIFS(gastos!S:S,gastos!M:M,ejec_ICPA!B19,gastos!P:P,ejec_ICPA!A19)</f>
        <v>0</v>
      </c>
      <c r="G19" s="209">
        <f>SUMIFS(gastos!T:T,gastos!M:M,ejec_ICPA!B19,gastos!P:P,ejec_ICPA!A19)</f>
        <v>0</v>
      </c>
      <c r="H19" s="209">
        <f>SUMIFS(gastos!U:U,gastos!M:M,ejec_ICPA!B19,gastos!P:P,ejec_ICPA!A19)</f>
        <v>0</v>
      </c>
      <c r="I19" s="209">
        <f t="shared" si="16"/>
        <v>263138813</v>
      </c>
      <c r="J19" s="209">
        <f>SUMIFS(gastos!W:W,gastos!M:M,ejec_ICPA!B19,gastos!P:P,ejec_ICPA!A19)</f>
        <v>263138813</v>
      </c>
      <c r="K19" s="209">
        <f>SUMIFS(gastos!X:X,gastos!$M:$M,ejec_ICPA!B19,gastos!$P:$P,ejec_ICPA!A19)</f>
        <v>263138813</v>
      </c>
      <c r="L19" s="209">
        <f>SUMIFS(gastos!$Z:$Z,gastos!$M:$M,ejec_ICPA!$B19,gastos!$P:$P,ejec_ICPA!$A19)</f>
        <v>263138813</v>
      </c>
      <c r="M19" s="209">
        <f>SUMIFS(gastos!$AE:$AE,gastos!$M:$M,ejec_ICPA!$B19,gastos!$P:$P,ejec_ICPA!$A19)</f>
        <v>0</v>
      </c>
      <c r="N19" s="209">
        <f>SUMIFS(gastos!AG:AG,gastos!$M:$M,ejec_ICPA!B19,gastos!$P:$P,ejec_ICPA!A19)</f>
        <v>263138813</v>
      </c>
      <c r="O19" s="209">
        <f>SUMIFS(gastos!AH:AH,gastos!$M:$M,ejec_ICPA!$B19,gastos!$P:$P,ejec_ICPA!$A19)</f>
        <v>263138813</v>
      </c>
      <c r="P19" s="209">
        <f>SUMIFS(gastos!$AF:$AF,gastos!$M:$M,ejec_ICPA!$B19,gastos!$P:$P,ejec_ICPA!$A19)</f>
        <v>263138813</v>
      </c>
      <c r="Q19" s="209">
        <f>SUMIFS(gastos!AJ:AJ,gastos!$M:$M,ejec_ICPA!$B19,gastos!$P:$P,ejec_ICPA!$A19)</f>
        <v>0</v>
      </c>
      <c r="R19" s="209">
        <f t="shared" si="17"/>
        <v>0</v>
      </c>
      <c r="S19" s="209">
        <f t="shared" si="18"/>
        <v>0</v>
      </c>
      <c r="T19" s="209">
        <f t="shared" si="19"/>
        <v>263138813</v>
      </c>
    </row>
    <row r="20" spans="1:24" x14ac:dyDescent="0.3">
      <c r="A20" s="111" t="s">
        <v>546</v>
      </c>
      <c r="B20" s="111" t="s">
        <v>545</v>
      </c>
      <c r="C20" s="209">
        <v>139546403</v>
      </c>
      <c r="D20" s="209">
        <f>SUMIFS(gastos!Q:Q,gastos!M:M,ejec_ICPA!B20,gastos!P:P,ejec_ICPA!A20)</f>
        <v>139546403</v>
      </c>
      <c r="E20" s="209">
        <f>SUMIFS(gastos!R:R,gastos!M:M,ejec_ICPA!B20,gastos!P:P,ejec_ICPA!A20)</f>
        <v>0</v>
      </c>
      <c r="F20" s="209">
        <f>SUMIFS(gastos!S:S,gastos!M:M,ejec_ICPA!B20,gastos!P:P,ejec_ICPA!A20)</f>
        <v>0</v>
      </c>
      <c r="G20" s="209">
        <f>SUMIFS(gastos!T:T,gastos!M:M,ejec_ICPA!B20,gastos!P:P,ejec_ICPA!A20)</f>
        <v>0</v>
      </c>
      <c r="H20" s="209">
        <f>SUMIFS(gastos!U:U,gastos!M:M,ejec_ICPA!B20,gastos!P:P,ejec_ICPA!A20)</f>
        <v>0</v>
      </c>
      <c r="I20" s="209">
        <f t="shared" si="16"/>
        <v>139546403</v>
      </c>
      <c r="J20" s="209">
        <f>SUMIFS(gastos!W:W,gastos!M:M,ejec_ICPA!B20,gastos!P:P,ejec_ICPA!A20)</f>
        <v>120732700</v>
      </c>
      <c r="K20" s="209">
        <f>SUMIFS(gastos!X:X,gastos!$M:$M,ejec_ICPA!B20,gastos!$P:$P,ejec_ICPA!A20)</f>
        <v>120732700</v>
      </c>
      <c r="L20" s="209">
        <f>SUMIFS(gastos!$Z:$Z,gastos!$M:$M,ejec_ICPA!$B20,gastos!$P:$P,ejec_ICPA!$A20)</f>
        <v>120732700</v>
      </c>
      <c r="M20" s="209">
        <f>SUMIFS(gastos!$AE:$AE,gastos!$M:$M,ejec_ICPA!$B20,gastos!$P:$P,ejec_ICPA!$A20)</f>
        <v>120732700</v>
      </c>
      <c r="N20" s="209">
        <f>SUMIFS(gastos!AG:AG,gastos!$M:$M,ejec_ICPA!B20,gastos!$P:$P,ejec_ICPA!A20)</f>
        <v>9525000</v>
      </c>
      <c r="O20" s="209">
        <f>SUMIFS(gastos!AH:AH,gastos!$M:$M,ejec_ICPA!$B20,gastos!$P:$P,ejec_ICPA!$A20)</f>
        <v>9525000</v>
      </c>
      <c r="P20" s="209">
        <f>SUMIFS(gastos!$AF:$AF,gastos!$M:$M,ejec_ICPA!$B20,gastos!$P:$P,ejec_ICPA!$A20)</f>
        <v>9525000</v>
      </c>
      <c r="Q20" s="209">
        <f>SUMIFS(gastos!AJ:AJ,gastos!$M:$M,ejec_ICPA!$B20,gastos!$P:$P,ejec_ICPA!$A20)</f>
        <v>19306800</v>
      </c>
      <c r="R20" s="209">
        <f t="shared" si="17"/>
        <v>0</v>
      </c>
      <c r="S20" s="209">
        <f t="shared" si="18"/>
        <v>0</v>
      </c>
      <c r="T20" s="209">
        <f t="shared" si="19"/>
        <v>0</v>
      </c>
    </row>
    <row r="21" spans="1:24" x14ac:dyDescent="0.3">
      <c r="A21" s="111" t="s">
        <v>548</v>
      </c>
      <c r="B21" s="111" t="s">
        <v>547</v>
      </c>
      <c r="C21" s="209">
        <v>78956935</v>
      </c>
      <c r="D21" s="209">
        <f>SUMIFS(gastos!Q:Q,gastos!M:M,ejec_ICPA!B21,gastos!P:P,ejec_ICPA!A21)</f>
        <v>78956935</v>
      </c>
      <c r="E21" s="209">
        <f>SUMIFS(gastos!R:R,gastos!M:M,ejec_ICPA!B21,gastos!P:P,ejec_ICPA!A21)</f>
        <v>0</v>
      </c>
      <c r="F21" s="209">
        <f>SUMIFS(gastos!S:S,gastos!M:M,ejec_ICPA!B21,gastos!P:P,ejec_ICPA!A21)</f>
        <v>0</v>
      </c>
      <c r="G21" s="209">
        <f>SUMIFS(gastos!T:T,gastos!M:M,ejec_ICPA!B21,gastos!P:P,ejec_ICPA!A21)</f>
        <v>0</v>
      </c>
      <c r="H21" s="209">
        <f>SUMIFS(gastos!U:U,gastos!M:M,ejec_ICPA!B21,gastos!P:P,ejec_ICPA!A21)</f>
        <v>0</v>
      </c>
      <c r="I21" s="209">
        <f t="shared" si="16"/>
        <v>78956935</v>
      </c>
      <c r="J21" s="209">
        <f>SUMIFS(gastos!W:W,gastos!M:M,ejec_ICPA!B21,gastos!P:P,ejec_ICPA!A21)</f>
        <v>62620000</v>
      </c>
      <c r="K21" s="209">
        <f>SUMIFS(gastos!X:X,gastos!$M:$M,ejec_ICPA!B21,gastos!$P:$P,ejec_ICPA!A21)</f>
        <v>62620000</v>
      </c>
      <c r="L21" s="209">
        <f>SUMIFS(gastos!$Z:$Z,gastos!$M:$M,ejec_ICPA!$B21,gastos!$P:$P,ejec_ICPA!$A21)</f>
        <v>62620000</v>
      </c>
      <c r="M21" s="209">
        <f>SUMIFS(gastos!$AE:$AE,gastos!$M:$M,ejec_ICPA!$B21,gastos!$P:$P,ejec_ICPA!$A21)</f>
        <v>62620000</v>
      </c>
      <c r="N21" s="209">
        <f>SUMIFS(gastos!AG:AG,gastos!$M:$M,ejec_ICPA!B21,gastos!$P:$P,ejec_ICPA!A21)</f>
        <v>4812700</v>
      </c>
      <c r="O21" s="209">
        <f>SUMIFS(gastos!AH:AH,gastos!$M:$M,ejec_ICPA!$B21,gastos!$P:$P,ejec_ICPA!$A21)</f>
        <v>4812700</v>
      </c>
      <c r="P21" s="209">
        <f>SUMIFS(gastos!$AF:$AF,gastos!$M:$M,ejec_ICPA!$B21,gastos!$P:$P,ejec_ICPA!$A21)</f>
        <v>4812700</v>
      </c>
      <c r="Q21" s="209">
        <f>SUMIFS(gastos!AJ:AJ,gastos!$M:$M,ejec_ICPA!$B21,gastos!$P:$P,ejec_ICPA!$A21)</f>
        <v>10018000</v>
      </c>
      <c r="R21" s="209">
        <f t="shared" si="17"/>
        <v>0</v>
      </c>
      <c r="S21" s="209">
        <f t="shared" si="18"/>
        <v>0</v>
      </c>
      <c r="T21" s="209">
        <f t="shared" si="19"/>
        <v>0</v>
      </c>
    </row>
    <row r="22" spans="1:24" x14ac:dyDescent="0.3">
      <c r="A22" s="111" t="s">
        <v>550</v>
      </c>
      <c r="B22" s="111" t="s">
        <v>549</v>
      </c>
      <c r="C22" s="209">
        <v>104659802</v>
      </c>
      <c r="D22" s="209">
        <f>SUMIFS(gastos!Q:Q,gastos!M:M,ejec_ICPA!B22,gastos!P:P,ejec_ICPA!A22)</f>
        <v>104659802</v>
      </c>
      <c r="E22" s="209">
        <f>SUMIFS(gastos!R:R,gastos!M:M,ejec_ICPA!B22,gastos!P:P,ejec_ICPA!A22)</f>
        <v>0</v>
      </c>
      <c r="F22" s="209">
        <f>SUMIFS(gastos!S:S,gastos!M:M,ejec_ICPA!B22,gastos!P:P,ejec_ICPA!A22)</f>
        <v>0</v>
      </c>
      <c r="G22" s="209">
        <f>SUMIFS(gastos!T:T,gastos!M:M,ejec_ICPA!B22,gastos!P:P,ejec_ICPA!A22)</f>
        <v>0</v>
      </c>
      <c r="H22" s="209">
        <f>SUMIFS(gastos!U:U,gastos!M:M,ejec_ICPA!B22,gastos!P:P,ejec_ICPA!A22)</f>
        <v>0</v>
      </c>
      <c r="I22" s="209">
        <f t="shared" si="16"/>
        <v>104659802</v>
      </c>
      <c r="J22" s="209">
        <f>SUMIFS(gastos!W:W,gastos!M:M,ejec_ICPA!B22,gastos!P:P,ejec_ICPA!A22)</f>
        <v>90562200</v>
      </c>
      <c r="K22" s="209">
        <f>SUMIFS(gastos!X:X,gastos!$M:$M,ejec_ICPA!B22,gastos!$P:$P,ejec_ICPA!A22)</f>
        <v>90562200</v>
      </c>
      <c r="L22" s="209">
        <f>SUMIFS(gastos!$Z:$Z,gastos!$M:$M,ejec_ICPA!$B22,gastos!$P:$P,ejec_ICPA!$A22)</f>
        <v>90562200</v>
      </c>
      <c r="M22" s="209">
        <f>SUMIFS(gastos!$AE:$AE,gastos!$M:$M,ejec_ICPA!$B22,gastos!$P:$P,ejec_ICPA!$A22)</f>
        <v>90562200</v>
      </c>
      <c r="N22" s="209">
        <f>SUMIFS(gastos!AG:AG,gastos!$M:$M,ejec_ICPA!B22,gastos!$P:$P,ejec_ICPA!A22)</f>
        <v>7146000</v>
      </c>
      <c r="O22" s="209">
        <f>SUMIFS(gastos!AH:AH,gastos!$M:$M,ejec_ICPA!$B22,gastos!$P:$P,ejec_ICPA!$A22)</f>
        <v>7146000</v>
      </c>
      <c r="P22" s="209">
        <f>SUMIFS(gastos!$AF:$AF,gastos!$M:$M,ejec_ICPA!$B22,gastos!$P:$P,ejec_ICPA!$A22)</f>
        <v>7146000</v>
      </c>
      <c r="Q22" s="209">
        <f>SUMIFS(gastos!AJ:AJ,gastos!$M:$M,ejec_ICPA!$B22,gastos!$P:$P,ejec_ICPA!$A22)</f>
        <v>14482400</v>
      </c>
      <c r="R22" s="209">
        <f t="shared" si="17"/>
        <v>0</v>
      </c>
      <c r="S22" s="209">
        <f t="shared" si="18"/>
        <v>0</v>
      </c>
      <c r="T22" s="209">
        <f t="shared" si="19"/>
        <v>0</v>
      </c>
    </row>
    <row r="23" spans="1:24" x14ac:dyDescent="0.3">
      <c r="A23" s="111" t="s">
        <v>552</v>
      </c>
      <c r="B23" s="111" t="s">
        <v>551</v>
      </c>
      <c r="C23" s="209">
        <f>69773202</f>
        <v>69773202</v>
      </c>
      <c r="D23" s="209">
        <f>SUMIFS(gastos!Q:Q,gastos!M:M,ejec_ICPA!B23,gastos!P:P,ejec_ICPA!A23)</f>
        <v>69773202</v>
      </c>
      <c r="E23" s="209">
        <f>SUMIFS(gastos!R:R,gastos!M:M,ejec_ICPA!B23,gastos!P:P,ejec_ICPA!A23)</f>
        <v>0</v>
      </c>
      <c r="F23" s="209">
        <f>SUMIFS(gastos!S:S,gastos!M:M,ejec_ICPA!B23,gastos!P:P,ejec_ICPA!A23)</f>
        <v>0</v>
      </c>
      <c r="G23" s="209">
        <f>SUMIFS(gastos!T:T,gastos!M:M,ejec_ICPA!B23,gastos!P:P,ejec_ICPA!A23)</f>
        <v>0</v>
      </c>
      <c r="H23" s="209">
        <f>SUMIFS(gastos!U:U,gastos!M:M,ejec_ICPA!B23,gastos!P:P,ejec_ICPA!A23)</f>
        <v>0</v>
      </c>
      <c r="I23" s="209">
        <f t="shared" si="16"/>
        <v>69773202</v>
      </c>
      <c r="J23" s="209">
        <f>SUMIFS(gastos!W:W,gastos!M:M,ejec_ICPA!B23,gastos!P:P,ejec_ICPA!A23)</f>
        <v>60385100</v>
      </c>
      <c r="K23" s="209">
        <f>SUMIFS(gastos!X:X,gastos!$M:$M,ejec_ICPA!B23,gastos!$P:$P,ejec_ICPA!A23)</f>
        <v>60385100</v>
      </c>
      <c r="L23" s="209">
        <f>SUMIFS(gastos!$Z:$Z,gastos!$M:$M,ejec_ICPA!$B23,gastos!$P:$P,ejec_ICPA!$A23)</f>
        <v>60385100</v>
      </c>
      <c r="M23" s="209">
        <f>SUMIFS(gastos!$AE:$AE,gastos!$M:$M,ejec_ICPA!$B23,gastos!$P:$P,ejec_ICPA!$A23)</f>
        <v>60385100</v>
      </c>
      <c r="N23" s="209">
        <f>SUMIFS(gastos!AG:AG,gastos!$M:$M,ejec_ICPA!B23,gastos!$P:$P,ejec_ICPA!A23)</f>
        <v>4765400</v>
      </c>
      <c r="O23" s="209">
        <f>SUMIFS(gastos!AH:AH,gastos!$M:$M,ejec_ICPA!$B23,gastos!$P:$P,ejec_ICPA!$A23)</f>
        <v>4765400</v>
      </c>
      <c r="P23" s="209">
        <f>SUMIFS(gastos!$AF:$AF,gastos!$M:$M,ejec_ICPA!$B23,gastos!$P:$P,ejec_ICPA!$A23)</f>
        <v>4765400</v>
      </c>
      <c r="Q23" s="209">
        <f>SUMIFS(gastos!AJ:AJ,gastos!$M:$M,ejec_ICPA!$B23,gastos!$P:$P,ejec_ICPA!$A23)</f>
        <v>9658200</v>
      </c>
      <c r="R23" s="209">
        <f t="shared" si="17"/>
        <v>0</v>
      </c>
      <c r="S23" s="209">
        <f t="shared" si="18"/>
        <v>0</v>
      </c>
      <c r="T23" s="209">
        <f t="shared" si="19"/>
        <v>0</v>
      </c>
    </row>
    <row r="24" spans="1:24" s="105" customFormat="1" x14ac:dyDescent="0.3">
      <c r="A24" s="113" t="s">
        <v>656</v>
      </c>
      <c r="B24" s="113" t="s">
        <v>617</v>
      </c>
      <c r="C24" s="207">
        <f>C25</f>
        <v>216256133</v>
      </c>
      <c r="D24" s="207">
        <f t="shared" ref="D24:T24" si="20">D25</f>
        <v>216256133</v>
      </c>
      <c r="E24" s="207">
        <f t="shared" si="20"/>
        <v>0</v>
      </c>
      <c r="F24" s="207">
        <f t="shared" si="20"/>
        <v>0</v>
      </c>
      <c r="G24" s="207">
        <f t="shared" si="20"/>
        <v>0</v>
      </c>
      <c r="H24" s="207">
        <f t="shared" si="20"/>
        <v>0</v>
      </c>
      <c r="I24" s="207">
        <f t="shared" si="20"/>
        <v>216256133</v>
      </c>
      <c r="J24" s="207">
        <f t="shared" si="20"/>
        <v>185850052</v>
      </c>
      <c r="K24" s="207">
        <f t="shared" si="20"/>
        <v>185850052</v>
      </c>
      <c r="L24" s="207">
        <f t="shared" si="20"/>
        <v>185850052</v>
      </c>
      <c r="M24" s="207">
        <f t="shared" si="20"/>
        <v>185824718</v>
      </c>
      <c r="N24" s="207">
        <f t="shared" si="20"/>
        <v>12359532</v>
      </c>
      <c r="O24" s="207">
        <f t="shared" si="20"/>
        <v>12359532</v>
      </c>
      <c r="P24" s="207">
        <f t="shared" si="20"/>
        <v>12359532</v>
      </c>
      <c r="Q24" s="207">
        <f t="shared" si="20"/>
        <v>13203610</v>
      </c>
      <c r="R24" s="207">
        <f t="shared" si="20"/>
        <v>0</v>
      </c>
      <c r="S24" s="207">
        <f t="shared" si="20"/>
        <v>0</v>
      </c>
      <c r="T24" s="207">
        <f t="shared" si="20"/>
        <v>25334</v>
      </c>
      <c r="U24" s="208"/>
      <c r="V24" s="208"/>
      <c r="W24" s="208"/>
      <c r="X24" s="208"/>
    </row>
    <row r="25" spans="1:24" s="105" customFormat="1" x14ac:dyDescent="0.3">
      <c r="A25" s="113" t="s">
        <v>657</v>
      </c>
      <c r="B25" s="113" t="s">
        <v>615</v>
      </c>
      <c r="C25" s="207">
        <f>SUM(C26:C28)</f>
        <v>216256133</v>
      </c>
      <c r="D25" s="207">
        <f t="shared" ref="D25:T25" si="21">SUM(D26:D28)</f>
        <v>216256133</v>
      </c>
      <c r="E25" s="207">
        <f t="shared" si="21"/>
        <v>0</v>
      </c>
      <c r="F25" s="207">
        <f t="shared" si="21"/>
        <v>0</v>
      </c>
      <c r="G25" s="207">
        <f t="shared" si="21"/>
        <v>0</v>
      </c>
      <c r="H25" s="207">
        <f t="shared" si="21"/>
        <v>0</v>
      </c>
      <c r="I25" s="207">
        <f t="shared" si="21"/>
        <v>216256133</v>
      </c>
      <c r="J25" s="207">
        <f t="shared" si="21"/>
        <v>185850052</v>
      </c>
      <c r="K25" s="207">
        <f t="shared" si="21"/>
        <v>185850052</v>
      </c>
      <c r="L25" s="207">
        <f t="shared" si="21"/>
        <v>185850052</v>
      </c>
      <c r="M25" s="207">
        <f t="shared" si="21"/>
        <v>185824718</v>
      </c>
      <c r="N25" s="207">
        <f t="shared" si="21"/>
        <v>12359532</v>
      </c>
      <c r="O25" s="207">
        <f t="shared" si="21"/>
        <v>12359532</v>
      </c>
      <c r="P25" s="207">
        <f t="shared" si="21"/>
        <v>12359532</v>
      </c>
      <c r="Q25" s="207">
        <f t="shared" si="21"/>
        <v>13203610</v>
      </c>
      <c r="R25" s="207">
        <f t="shared" si="21"/>
        <v>0</v>
      </c>
      <c r="S25" s="207">
        <f t="shared" si="21"/>
        <v>0</v>
      </c>
      <c r="T25" s="207">
        <f t="shared" si="21"/>
        <v>25334</v>
      </c>
      <c r="U25" s="208"/>
      <c r="V25" s="208"/>
      <c r="W25" s="208"/>
      <c r="X25" s="208"/>
    </row>
    <row r="26" spans="1:24" x14ac:dyDescent="0.3">
      <c r="A26" s="111" t="s">
        <v>554</v>
      </c>
      <c r="B26" s="111" t="s">
        <v>553</v>
      </c>
      <c r="C26" s="209">
        <f>193847083-19384708</f>
        <v>174462375</v>
      </c>
      <c r="D26" s="209">
        <f>SUMIFS(gastos!Q:Q,gastos!M:M,ejec_ICPA!B26,gastos!P:P,ejec_ICPA!A26)</f>
        <v>174462375</v>
      </c>
      <c r="E26" s="209">
        <f>SUMIFS(gastos!R:R,gastos!M:M,ejec_ICPA!B26,gastos!P:P,ejec_ICPA!A26)</f>
        <v>0</v>
      </c>
      <c r="F26" s="209">
        <f>SUMIFS(gastos!S:S,gastos!M:M,ejec_ICPA!B26,gastos!P:P,ejec_ICPA!A26)</f>
        <v>0</v>
      </c>
      <c r="G26" s="209">
        <f>SUMIFS(gastos!T:T,gastos!M:M,ejec_ICPA!B26,gastos!P:P,ejec_ICPA!A26)</f>
        <v>0</v>
      </c>
      <c r="H26" s="209">
        <f>SUMIFS(gastos!U:U,gastos!M:M,ejec_ICPA!B26,gastos!P:P,ejec_ICPA!A26)</f>
        <v>0</v>
      </c>
      <c r="I26" s="209">
        <f t="shared" ref="I26:I28" si="22">D26+E26-F26+G26-H26</f>
        <v>174462375</v>
      </c>
      <c r="J26" s="209">
        <f>SUMIFS(gastos!W:W,gastos!M:M,ejec_ICPA!B26,gastos!P:P,ejec_ICPA!A26)</f>
        <v>170098212</v>
      </c>
      <c r="K26" s="209">
        <f>SUMIFS(gastos!X:X,gastos!$M:$M,ejec_ICPA!B26,gastos!$P:$P,ejec_ICPA!A26)</f>
        <v>170098212</v>
      </c>
      <c r="L26" s="209">
        <f>SUMIFS(gastos!$Z:$Z,gastos!$M:$M,ejec_ICPA!$B26,gastos!$P:$P,ejec_ICPA!$A26)</f>
        <v>170098212</v>
      </c>
      <c r="M26" s="209">
        <f>SUMIFS(gastos!$AE:$AE,gastos!$M:$M,ejec_ICPA!$B26,gastos!$P:$P,ejec_ICPA!$A26)</f>
        <v>170074886</v>
      </c>
      <c r="N26" s="209">
        <f>SUMIFS(gastos!AG:AG,gastos!$M:$M,ejec_ICPA!B26,gastos!$P:$P,ejec_ICPA!A26)</f>
        <v>10660364</v>
      </c>
      <c r="O26" s="209">
        <f>SUMIFS(gastos!AH:AH,gastos!$M:$M,ejec_ICPA!$B26,gastos!$P:$P,ejec_ICPA!$A26)</f>
        <v>10660364</v>
      </c>
      <c r="P26" s="209">
        <f>SUMIFS(gastos!$AF:$AF,gastos!$M:$M,ejec_ICPA!$B26,gastos!$P:$P,ejec_ICPA!$A26)</f>
        <v>10660364</v>
      </c>
      <c r="Q26" s="209">
        <f>SUMIFS(gastos!AJ:AJ,gastos!$M:$M,ejec_ICPA!$B26,gastos!$P:$P,ejec_ICPA!$A26)</f>
        <v>11450265</v>
      </c>
      <c r="R26" s="209">
        <f t="shared" ref="R26:R28" si="23">K26-L26</f>
        <v>0</v>
      </c>
      <c r="S26" s="209">
        <f t="shared" ref="S26:S28" si="24">L26-J26</f>
        <v>0</v>
      </c>
      <c r="T26" s="209">
        <f t="shared" ref="T26:T28" si="25">J26-M26</f>
        <v>23326</v>
      </c>
    </row>
    <row r="27" spans="1:24" x14ac:dyDescent="0.3">
      <c r="A27" s="111" t="s">
        <v>556</v>
      </c>
      <c r="B27" s="111" t="s">
        <v>555</v>
      </c>
      <c r="C27" s="209">
        <v>7000000</v>
      </c>
      <c r="D27" s="209">
        <f>SUMIFS(gastos!Q:Q,gastos!M:M,ejec_ICPA!B27,gastos!P:P,ejec_ICPA!A27)</f>
        <v>7000000</v>
      </c>
      <c r="E27" s="209">
        <f>SUMIFS(gastos!R:R,gastos!M:M,ejec_ICPA!B27,gastos!P:P,ejec_ICPA!A27)</f>
        <v>0</v>
      </c>
      <c r="F27" s="209">
        <f>SUMIFS(gastos!S:S,gastos!M:M,ejec_ICPA!B27,gastos!P:P,ejec_ICPA!A27)</f>
        <v>0</v>
      </c>
      <c r="G27" s="209">
        <f>SUMIFS(gastos!T:T,gastos!M:M,ejec_ICPA!B27,gastos!P:P,ejec_ICPA!A27)</f>
        <v>0</v>
      </c>
      <c r="H27" s="209">
        <f>SUMIFS(gastos!U:U,gastos!M:M,ejec_ICPA!B27,gastos!P:P,ejec_ICPA!A27)</f>
        <v>0</v>
      </c>
      <c r="I27" s="209">
        <f t="shared" si="22"/>
        <v>7000000</v>
      </c>
      <c r="J27" s="209">
        <f>SUMIFS(gastos!W:W,gastos!M:M,ejec_ICPA!B27,gastos!P:P,ejec_ICPA!A27)</f>
        <v>0</v>
      </c>
      <c r="K27" s="209">
        <f>SUMIFS(gastos!X:X,gastos!$M:$M,ejec_ICPA!B27,gastos!$P:$P,ejec_ICPA!A27)</f>
        <v>0</v>
      </c>
      <c r="L27" s="209">
        <f>SUMIFS(gastos!$Z:$Z,gastos!$M:$M,ejec_ICPA!$B27,gastos!$P:$P,ejec_ICPA!$A27)</f>
        <v>0</v>
      </c>
      <c r="M27" s="209">
        <f>SUMIFS(gastos!$AE:$AE,gastos!$M:$M,ejec_ICPA!$B27,gastos!$P:$P,ejec_ICPA!$A27)</f>
        <v>0</v>
      </c>
      <c r="N27" s="209">
        <f>SUMIFS(gastos!AG:AG,gastos!$M:$M,ejec_ICPA!B27,gastos!$P:$P,ejec_ICPA!A27)</f>
        <v>0</v>
      </c>
      <c r="O27" s="209">
        <f>SUMIFS(gastos!AH:AH,gastos!$M:$M,ejec_ICPA!$B27,gastos!$P:$P,ejec_ICPA!$A27)</f>
        <v>0</v>
      </c>
      <c r="P27" s="209">
        <f>SUMIFS(gastos!$AF:$AF,gastos!$M:$M,ejec_ICPA!$B27,gastos!$P:$P,ejec_ICPA!$A27)</f>
        <v>0</v>
      </c>
      <c r="Q27" s="209">
        <f>SUMIFS(gastos!AJ:AJ,gastos!$M:$M,ejec_ICPA!$B27,gastos!$P:$P,ejec_ICPA!$A27)</f>
        <v>0</v>
      </c>
      <c r="R27" s="209">
        <f t="shared" si="23"/>
        <v>0</v>
      </c>
      <c r="S27" s="209">
        <f t="shared" si="24"/>
        <v>0</v>
      </c>
      <c r="T27" s="209">
        <f t="shared" si="25"/>
        <v>0</v>
      </c>
    </row>
    <row r="28" spans="1:24" x14ac:dyDescent="0.3">
      <c r="A28" s="111" t="s">
        <v>558</v>
      </c>
      <c r="B28" s="111" t="s">
        <v>557</v>
      </c>
      <c r="C28" s="209">
        <v>34793758</v>
      </c>
      <c r="D28" s="209">
        <f>SUMIFS(gastos!Q:Q,gastos!M:M,ejec_ICPA!B28,gastos!P:P,ejec_ICPA!A28)</f>
        <v>34793758</v>
      </c>
      <c r="E28" s="209">
        <f>SUMIFS(gastos!R:R,gastos!M:M,ejec_ICPA!B28,gastos!P:P,ejec_ICPA!A28)</f>
        <v>0</v>
      </c>
      <c r="F28" s="209">
        <f>SUMIFS(gastos!S:S,gastos!M:M,ejec_ICPA!B28,gastos!P:P,ejec_ICPA!A28)</f>
        <v>0</v>
      </c>
      <c r="G28" s="209">
        <f>SUMIFS(gastos!T:T,gastos!M:M,ejec_ICPA!B28,gastos!P:P,ejec_ICPA!A28)</f>
        <v>0</v>
      </c>
      <c r="H28" s="209">
        <f>SUMIFS(gastos!U:U,gastos!M:M,ejec_ICPA!B28,gastos!P:P,ejec_ICPA!A28)</f>
        <v>0</v>
      </c>
      <c r="I28" s="209">
        <f t="shared" si="22"/>
        <v>34793758</v>
      </c>
      <c r="J28" s="209">
        <f>SUMIFS(gastos!W:W,gastos!M:M,ejec_ICPA!B28,gastos!P:P,ejec_ICPA!A28)</f>
        <v>15751840</v>
      </c>
      <c r="K28" s="209">
        <f>SUMIFS(gastos!X:X,gastos!$M:$M,ejec_ICPA!B28,gastos!$P:$P,ejec_ICPA!A28)</f>
        <v>15751840</v>
      </c>
      <c r="L28" s="209">
        <f>SUMIFS(gastos!$Z:$Z,gastos!$M:$M,ejec_ICPA!$B28,gastos!$P:$P,ejec_ICPA!$A28)</f>
        <v>15751840</v>
      </c>
      <c r="M28" s="209">
        <f>SUMIFS(gastos!$AE:$AE,gastos!$M:$M,ejec_ICPA!$B28,gastos!$P:$P,ejec_ICPA!$A28)</f>
        <v>15749832</v>
      </c>
      <c r="N28" s="209">
        <f>SUMIFS(gastos!AG:AG,gastos!$M:$M,ejec_ICPA!B28,gastos!$P:$P,ejec_ICPA!A28)</f>
        <v>1699168</v>
      </c>
      <c r="O28" s="209">
        <f>SUMIFS(gastos!AH:AH,gastos!$M:$M,ejec_ICPA!$B28,gastos!$P:$P,ejec_ICPA!$A28)</f>
        <v>1699168</v>
      </c>
      <c r="P28" s="209">
        <f>SUMIFS(gastos!$AF:$AF,gastos!$M:$M,ejec_ICPA!$B28,gastos!$P:$P,ejec_ICPA!$A28)</f>
        <v>1699168</v>
      </c>
      <c r="Q28" s="209">
        <f>SUMIFS(gastos!AJ:AJ,gastos!$M:$M,ejec_ICPA!$B28,gastos!$P:$P,ejec_ICPA!$A28)</f>
        <v>1753345</v>
      </c>
      <c r="R28" s="209">
        <f t="shared" si="23"/>
        <v>0</v>
      </c>
      <c r="S28" s="209">
        <f t="shared" si="24"/>
        <v>0</v>
      </c>
      <c r="T28" s="209">
        <f t="shared" si="25"/>
        <v>2008</v>
      </c>
    </row>
    <row r="29" spans="1:24" s="105" customFormat="1" x14ac:dyDescent="0.3">
      <c r="A29" s="113" t="s">
        <v>658</v>
      </c>
      <c r="B29" s="113" t="s">
        <v>606</v>
      </c>
      <c r="C29" s="207">
        <f>C30</f>
        <v>2054713617</v>
      </c>
      <c r="D29" s="207">
        <f t="shared" ref="D29:T29" si="26">D30</f>
        <v>2054713617</v>
      </c>
      <c r="E29" s="207">
        <f t="shared" si="26"/>
        <v>0</v>
      </c>
      <c r="F29" s="207">
        <f t="shared" si="26"/>
        <v>0</v>
      </c>
      <c r="G29" s="207">
        <f t="shared" si="26"/>
        <v>134100000</v>
      </c>
      <c r="H29" s="207">
        <f t="shared" si="26"/>
        <v>64100000</v>
      </c>
      <c r="I29" s="207">
        <f t="shared" si="26"/>
        <v>2124713617</v>
      </c>
      <c r="J29" s="207">
        <f t="shared" si="26"/>
        <v>1677015949</v>
      </c>
      <c r="K29" s="207">
        <f t="shared" si="26"/>
        <v>1677015949</v>
      </c>
      <c r="L29" s="207">
        <f t="shared" si="26"/>
        <v>1677015949</v>
      </c>
      <c r="M29" s="207">
        <f t="shared" si="26"/>
        <v>1399547837</v>
      </c>
      <c r="N29" s="207">
        <f t="shared" si="26"/>
        <v>-47357980</v>
      </c>
      <c r="O29" s="207">
        <f t="shared" si="26"/>
        <v>15079227</v>
      </c>
      <c r="P29" s="207">
        <f t="shared" si="26"/>
        <v>534389645</v>
      </c>
      <c r="Q29" s="207">
        <f t="shared" si="26"/>
        <v>266932640</v>
      </c>
      <c r="R29" s="207">
        <f t="shared" si="26"/>
        <v>0</v>
      </c>
      <c r="S29" s="207">
        <f t="shared" si="26"/>
        <v>0</v>
      </c>
      <c r="T29" s="207">
        <f t="shared" si="26"/>
        <v>277468112</v>
      </c>
      <c r="U29" s="208"/>
      <c r="V29" s="208"/>
      <c r="W29" s="208"/>
      <c r="X29" s="208"/>
    </row>
    <row r="30" spans="1:24" s="105" customFormat="1" x14ac:dyDescent="0.3">
      <c r="A30" s="113" t="s">
        <v>659</v>
      </c>
      <c r="B30" s="113" t="s">
        <v>607</v>
      </c>
      <c r="C30" s="207">
        <f>C31+C33</f>
        <v>2054713617</v>
      </c>
      <c r="D30" s="207">
        <f t="shared" ref="D30:T30" si="27">D31+D33</f>
        <v>2054713617</v>
      </c>
      <c r="E30" s="207">
        <f t="shared" si="27"/>
        <v>0</v>
      </c>
      <c r="F30" s="207">
        <f t="shared" si="27"/>
        <v>0</v>
      </c>
      <c r="G30" s="207">
        <f t="shared" si="27"/>
        <v>134100000</v>
      </c>
      <c r="H30" s="207">
        <f t="shared" si="27"/>
        <v>64100000</v>
      </c>
      <c r="I30" s="207">
        <f t="shared" si="27"/>
        <v>2124713617</v>
      </c>
      <c r="J30" s="207">
        <f t="shared" si="27"/>
        <v>1677015949</v>
      </c>
      <c r="K30" s="207">
        <f t="shared" si="27"/>
        <v>1677015949</v>
      </c>
      <c r="L30" s="207">
        <f t="shared" si="27"/>
        <v>1677015949</v>
      </c>
      <c r="M30" s="207">
        <f t="shared" si="27"/>
        <v>1399547837</v>
      </c>
      <c r="N30" s="207">
        <f t="shared" si="27"/>
        <v>-47357980</v>
      </c>
      <c r="O30" s="207">
        <f t="shared" si="27"/>
        <v>15079227</v>
      </c>
      <c r="P30" s="207">
        <f t="shared" si="27"/>
        <v>534389645</v>
      </c>
      <c r="Q30" s="207">
        <f t="shared" si="27"/>
        <v>266932640</v>
      </c>
      <c r="R30" s="207">
        <f t="shared" si="27"/>
        <v>0</v>
      </c>
      <c r="S30" s="207">
        <f t="shared" si="27"/>
        <v>0</v>
      </c>
      <c r="T30" s="207">
        <f t="shared" si="27"/>
        <v>277468112</v>
      </c>
      <c r="U30" s="208"/>
      <c r="V30" s="208"/>
      <c r="W30" s="208"/>
      <c r="X30" s="208"/>
    </row>
    <row r="31" spans="1:24" s="105" customFormat="1" x14ac:dyDescent="0.3">
      <c r="A31" s="113" t="s">
        <v>660</v>
      </c>
      <c r="B31" s="113" t="s">
        <v>73</v>
      </c>
      <c r="C31" s="207">
        <f>SUM(C32)</f>
        <v>53560000</v>
      </c>
      <c r="D31" s="207">
        <f t="shared" ref="D31:T31" si="28">SUM(D32)</f>
        <v>53560000</v>
      </c>
      <c r="E31" s="207">
        <f t="shared" si="28"/>
        <v>0</v>
      </c>
      <c r="F31" s="207">
        <f t="shared" si="28"/>
        <v>0</v>
      </c>
      <c r="G31" s="207">
        <f t="shared" si="28"/>
        <v>30000000</v>
      </c>
      <c r="H31" s="207">
        <f t="shared" si="28"/>
        <v>0</v>
      </c>
      <c r="I31" s="207">
        <f t="shared" si="28"/>
        <v>83560000</v>
      </c>
      <c r="J31" s="207">
        <f t="shared" si="28"/>
        <v>61172396</v>
      </c>
      <c r="K31" s="207">
        <f t="shared" si="28"/>
        <v>61172396</v>
      </c>
      <c r="L31" s="207">
        <f t="shared" si="28"/>
        <v>61172396</v>
      </c>
      <c r="M31" s="207">
        <f t="shared" si="28"/>
        <v>31767315</v>
      </c>
      <c r="N31" s="207">
        <f t="shared" si="28"/>
        <v>22697982</v>
      </c>
      <c r="O31" s="207">
        <f t="shared" si="28"/>
        <v>0</v>
      </c>
      <c r="P31" s="207">
        <f t="shared" si="28"/>
        <v>30586969</v>
      </c>
      <c r="Q31" s="207">
        <f t="shared" si="28"/>
        <v>7415409</v>
      </c>
      <c r="R31" s="207">
        <f t="shared" si="28"/>
        <v>0</v>
      </c>
      <c r="S31" s="207">
        <f t="shared" si="28"/>
        <v>0</v>
      </c>
      <c r="T31" s="207">
        <f t="shared" si="28"/>
        <v>29405081</v>
      </c>
      <c r="U31" s="208"/>
      <c r="V31" s="208"/>
      <c r="W31" s="208"/>
      <c r="X31" s="208"/>
    </row>
    <row r="32" spans="1:24" x14ac:dyDescent="0.3">
      <c r="A32" s="111" t="s">
        <v>560</v>
      </c>
      <c r="B32" s="111" t="s">
        <v>559</v>
      </c>
      <c r="C32" s="209">
        <v>53560000</v>
      </c>
      <c r="D32" s="209">
        <f>SUMIFS(gastos!Q:Q,gastos!M:M,ejec_ICPA!B32,gastos!P:P,ejec_ICPA!A32)</f>
        <v>53560000</v>
      </c>
      <c r="E32" s="209">
        <f>SUMIFS(gastos!R:R,gastos!M:M,ejec_ICPA!B32,gastos!P:P,ejec_ICPA!A32)</f>
        <v>0</v>
      </c>
      <c r="F32" s="209">
        <f>SUMIFS(gastos!S:S,gastos!M:M,ejec_ICPA!B32,gastos!P:P,ejec_ICPA!A32)</f>
        <v>0</v>
      </c>
      <c r="G32" s="209">
        <f>SUMIFS(gastos!T:T,gastos!M:M,ejec_ICPA!B32,gastos!P:P,ejec_ICPA!A32)</f>
        <v>30000000</v>
      </c>
      <c r="H32" s="209">
        <f>SUMIFS(gastos!U:U,gastos!M:M,ejec_ICPA!B32,gastos!P:P,ejec_ICPA!A32)</f>
        <v>0</v>
      </c>
      <c r="I32" s="209">
        <f>D32+E32-F32+G32-H32</f>
        <v>83560000</v>
      </c>
      <c r="J32" s="209">
        <f>SUMIFS(gastos!W:W,gastos!M:M,ejec_ICPA!B32,gastos!P:P,ejec_ICPA!A32)</f>
        <v>61172396</v>
      </c>
      <c r="K32" s="209">
        <f>SUMIFS(gastos!X:X,gastos!$M:$M,ejec_ICPA!B32,gastos!$P:$P,ejec_ICPA!A32)</f>
        <v>61172396</v>
      </c>
      <c r="L32" s="209">
        <f>SUMIFS(gastos!$Z:$Z,gastos!$M:$M,ejec_ICPA!$B32,gastos!$P:$P,ejec_ICPA!$A32)</f>
        <v>61172396</v>
      </c>
      <c r="M32" s="209">
        <f>SUMIFS(gastos!$AE:$AE,gastos!$M:$M,ejec_ICPA!$B32,gastos!$P:$P,ejec_ICPA!$A32)</f>
        <v>31767315</v>
      </c>
      <c r="N32" s="209">
        <f>SUMIFS(gastos!AG:AG,gastos!$M:$M,ejec_ICPA!B32,gastos!$P:$P,ejec_ICPA!A32)</f>
        <v>22697982</v>
      </c>
      <c r="O32" s="209">
        <f>SUMIFS(gastos!AH:AH,gastos!$M:$M,ejec_ICPA!$B32,gastos!$P:$P,ejec_ICPA!$A32)</f>
        <v>0</v>
      </c>
      <c r="P32" s="209">
        <f>SUMIFS(gastos!$AF:$AF,gastos!$M:$M,ejec_ICPA!$B32,gastos!$P:$P,ejec_ICPA!$A32)</f>
        <v>30586969</v>
      </c>
      <c r="Q32" s="209">
        <f>SUMIFS(gastos!AJ:AJ,gastos!$M:$M,ejec_ICPA!$B32,gastos!$P:$P,ejec_ICPA!$A32)</f>
        <v>7415409</v>
      </c>
      <c r="R32" s="209">
        <f>K32-L32</f>
        <v>0</v>
      </c>
      <c r="S32" s="209">
        <f>L32-J32</f>
        <v>0</v>
      </c>
      <c r="T32" s="209">
        <f>J32-M32</f>
        <v>29405081</v>
      </c>
    </row>
    <row r="33" spans="1:24" s="105" customFormat="1" x14ac:dyDescent="0.3">
      <c r="A33" s="113" t="s">
        <v>661</v>
      </c>
      <c r="B33" s="113" t="s">
        <v>618</v>
      </c>
      <c r="C33" s="207">
        <f>C34+C36+C39</f>
        <v>2001153617</v>
      </c>
      <c r="D33" s="207">
        <f t="shared" ref="D33:T33" si="29">D34+D36+D39</f>
        <v>2001153617</v>
      </c>
      <c r="E33" s="207">
        <f t="shared" si="29"/>
        <v>0</v>
      </c>
      <c r="F33" s="207">
        <f t="shared" si="29"/>
        <v>0</v>
      </c>
      <c r="G33" s="207">
        <f t="shared" si="29"/>
        <v>104100000</v>
      </c>
      <c r="H33" s="207">
        <f t="shared" si="29"/>
        <v>64100000</v>
      </c>
      <c r="I33" s="207">
        <f t="shared" si="29"/>
        <v>2041153617</v>
      </c>
      <c r="J33" s="207">
        <f t="shared" si="29"/>
        <v>1615843553</v>
      </c>
      <c r="K33" s="207">
        <f t="shared" si="29"/>
        <v>1615843553</v>
      </c>
      <c r="L33" s="207">
        <f t="shared" si="29"/>
        <v>1615843553</v>
      </c>
      <c r="M33" s="207">
        <f t="shared" si="29"/>
        <v>1367780522</v>
      </c>
      <c r="N33" s="207">
        <f t="shared" si="29"/>
        <v>-70055962</v>
      </c>
      <c r="O33" s="207">
        <f t="shared" si="29"/>
        <v>15079227</v>
      </c>
      <c r="P33" s="207">
        <f t="shared" si="29"/>
        <v>503802676</v>
      </c>
      <c r="Q33" s="207">
        <f t="shared" si="29"/>
        <v>259517231</v>
      </c>
      <c r="R33" s="207">
        <f t="shared" si="29"/>
        <v>0</v>
      </c>
      <c r="S33" s="207">
        <f t="shared" si="29"/>
        <v>0</v>
      </c>
      <c r="T33" s="207">
        <f t="shared" si="29"/>
        <v>248063031</v>
      </c>
      <c r="U33" s="208"/>
      <c r="V33" s="208"/>
      <c r="W33" s="208"/>
      <c r="X33" s="208"/>
    </row>
    <row r="34" spans="1:24" s="105" customFormat="1" x14ac:dyDescent="0.3">
      <c r="A34" s="113" t="s">
        <v>662</v>
      </c>
      <c r="B34" s="113" t="s">
        <v>619</v>
      </c>
      <c r="C34" s="207">
        <f>SUM(C35)</f>
        <v>72100000</v>
      </c>
      <c r="D34" s="207">
        <f t="shared" ref="D34:T34" si="30">SUM(D35)</f>
        <v>72100000</v>
      </c>
      <c r="E34" s="207">
        <f t="shared" si="30"/>
        <v>0</v>
      </c>
      <c r="F34" s="207">
        <f t="shared" si="30"/>
        <v>0</v>
      </c>
      <c r="G34" s="207">
        <f t="shared" si="30"/>
        <v>70000000</v>
      </c>
      <c r="H34" s="207">
        <f t="shared" si="30"/>
        <v>0</v>
      </c>
      <c r="I34" s="207">
        <f t="shared" si="30"/>
        <v>142100000</v>
      </c>
      <c r="J34" s="207">
        <f t="shared" si="30"/>
        <v>107556455</v>
      </c>
      <c r="K34" s="207">
        <f t="shared" si="30"/>
        <v>107556455</v>
      </c>
      <c r="L34" s="207">
        <f t="shared" si="30"/>
        <v>107556455</v>
      </c>
      <c r="M34" s="207">
        <f t="shared" si="30"/>
        <v>107556455</v>
      </c>
      <c r="N34" s="207">
        <f t="shared" si="30"/>
        <v>-6221040</v>
      </c>
      <c r="O34" s="207">
        <f t="shared" si="30"/>
        <v>4213925</v>
      </c>
      <c r="P34" s="207">
        <f t="shared" si="30"/>
        <v>5970250</v>
      </c>
      <c r="Q34" s="207">
        <f t="shared" si="30"/>
        <v>7026700</v>
      </c>
      <c r="R34" s="207">
        <f t="shared" si="30"/>
        <v>0</v>
      </c>
      <c r="S34" s="207">
        <f t="shared" si="30"/>
        <v>0</v>
      </c>
      <c r="T34" s="207">
        <f t="shared" si="30"/>
        <v>0</v>
      </c>
      <c r="U34" s="208"/>
      <c r="V34" s="208"/>
      <c r="W34" s="208"/>
      <c r="X34" s="208"/>
    </row>
    <row r="35" spans="1:24" x14ac:dyDescent="0.3">
      <c r="A35" s="111" t="s">
        <v>562</v>
      </c>
      <c r="B35" s="111" t="s">
        <v>561</v>
      </c>
      <c r="C35" s="209">
        <v>72100000</v>
      </c>
      <c r="D35" s="209">
        <f>SUMIFS(gastos!Q:Q,gastos!M:M,ejec_ICPA!B35,gastos!P:P,ejec_ICPA!A35)</f>
        <v>72100000</v>
      </c>
      <c r="E35" s="209">
        <f>SUMIFS(gastos!R:R,gastos!M:M,ejec_ICPA!B35,gastos!P:P,ejec_ICPA!A35)</f>
        <v>0</v>
      </c>
      <c r="F35" s="209">
        <f>SUMIFS(gastos!S:S,gastos!M:M,ejec_ICPA!B35,gastos!P:P,ejec_ICPA!A35)</f>
        <v>0</v>
      </c>
      <c r="G35" s="209">
        <f>SUMIFS(gastos!T:T,gastos!M:M,ejec_ICPA!B35,gastos!P:P,ejec_ICPA!A35)</f>
        <v>70000000</v>
      </c>
      <c r="H35" s="209">
        <f>SUMIFS(gastos!U:U,gastos!M:M,ejec_ICPA!B35,gastos!P:P,ejec_ICPA!A35)</f>
        <v>0</v>
      </c>
      <c r="I35" s="209">
        <f>D35+E35-F35+G35-H35</f>
        <v>142100000</v>
      </c>
      <c r="J35" s="209">
        <f>SUMIFS(gastos!W:W,gastos!M:M,ejec_ICPA!B35,gastos!P:P,ejec_ICPA!A35)</f>
        <v>107556455</v>
      </c>
      <c r="K35" s="209">
        <f>SUMIFS(gastos!X:X,gastos!$M:$M,ejec_ICPA!B35,gastos!$P:$P,ejec_ICPA!A35)</f>
        <v>107556455</v>
      </c>
      <c r="L35" s="209">
        <f>SUMIFS(gastos!$Z:$Z,gastos!$M:$M,ejec_ICPA!$B35,gastos!$P:$P,ejec_ICPA!$A35)</f>
        <v>107556455</v>
      </c>
      <c r="M35" s="209">
        <f>SUMIFS(gastos!$AE:$AE,gastos!$M:$M,ejec_ICPA!$B35,gastos!$P:$P,ejec_ICPA!$A35)</f>
        <v>107556455</v>
      </c>
      <c r="N35" s="209">
        <f>SUMIFS(gastos!AG:AG,gastos!$M:$M,ejec_ICPA!B35,gastos!$P:$P,ejec_ICPA!A35)</f>
        <v>-6221040</v>
      </c>
      <c r="O35" s="209">
        <f>SUMIFS(gastos!AH:AH,gastos!$M:$M,ejec_ICPA!$B35,gastos!$P:$P,ejec_ICPA!$A35)</f>
        <v>4213925</v>
      </c>
      <c r="P35" s="209">
        <f>SUMIFS(gastos!$AF:$AF,gastos!$M:$M,ejec_ICPA!$B35,gastos!$P:$P,ejec_ICPA!$A35)</f>
        <v>5970250</v>
      </c>
      <c r="Q35" s="209">
        <f>SUMIFS(gastos!AJ:AJ,gastos!$M:$M,ejec_ICPA!$B35,gastos!$P:$P,ejec_ICPA!$A35)</f>
        <v>7026700</v>
      </c>
      <c r="R35" s="209">
        <f>K35-L35</f>
        <v>0</v>
      </c>
      <c r="S35" s="209">
        <f>L35-J35</f>
        <v>0</v>
      </c>
      <c r="T35" s="209">
        <f>J35-M35</f>
        <v>0</v>
      </c>
    </row>
    <row r="36" spans="1:24" s="105" customFormat="1" x14ac:dyDescent="0.3">
      <c r="A36" s="113" t="s">
        <v>663</v>
      </c>
      <c r="B36" s="113" t="s">
        <v>620</v>
      </c>
      <c r="C36" s="207">
        <f>SUM(C37:C38)</f>
        <v>307455000</v>
      </c>
      <c r="D36" s="207">
        <f t="shared" ref="D36:T36" si="31">SUM(D37:D38)</f>
        <v>307455000</v>
      </c>
      <c r="E36" s="207">
        <f t="shared" si="31"/>
        <v>0</v>
      </c>
      <c r="F36" s="207">
        <f t="shared" si="31"/>
        <v>0</v>
      </c>
      <c r="G36" s="207">
        <f t="shared" si="31"/>
        <v>19100000</v>
      </c>
      <c r="H36" s="207">
        <f t="shared" si="31"/>
        <v>0</v>
      </c>
      <c r="I36" s="207">
        <f t="shared" si="31"/>
        <v>326555000</v>
      </c>
      <c r="J36" s="207">
        <f t="shared" si="31"/>
        <v>256880522</v>
      </c>
      <c r="K36" s="207">
        <f t="shared" si="31"/>
        <v>256880522</v>
      </c>
      <c r="L36" s="207">
        <f t="shared" si="31"/>
        <v>256880522</v>
      </c>
      <c r="M36" s="207">
        <f t="shared" si="31"/>
        <v>50682170</v>
      </c>
      <c r="N36" s="207">
        <f t="shared" si="31"/>
        <v>-5380519</v>
      </c>
      <c r="O36" s="207">
        <f t="shared" si="31"/>
        <v>0</v>
      </c>
      <c r="P36" s="207">
        <f t="shared" si="31"/>
        <v>206581226</v>
      </c>
      <c r="Q36" s="207">
        <f t="shared" si="31"/>
        <v>382874</v>
      </c>
      <c r="R36" s="207">
        <f t="shared" si="31"/>
        <v>0</v>
      </c>
      <c r="S36" s="207">
        <f t="shared" si="31"/>
        <v>0</v>
      </c>
      <c r="T36" s="207">
        <f t="shared" si="31"/>
        <v>206198352</v>
      </c>
      <c r="U36" s="208"/>
      <c r="V36" s="208"/>
      <c r="W36" s="208"/>
      <c r="X36" s="208"/>
    </row>
    <row r="37" spans="1:24" x14ac:dyDescent="0.3">
      <c r="A37" s="111" t="s">
        <v>564</v>
      </c>
      <c r="B37" s="111" t="s">
        <v>563</v>
      </c>
      <c r="C37" s="215">
        <v>303850000</v>
      </c>
      <c r="D37" s="209">
        <f>SUMIFS(gastos!Q:Q,gastos!M:M,ejec_ICPA!B37,gastos!P:P,ejec_ICPA!A37)</f>
        <v>303850000</v>
      </c>
      <c r="E37" s="209">
        <f>SUMIFS(gastos!R:R,gastos!M:M,ejec_ICPA!B37,gastos!P:P,ejec_ICPA!A37)</f>
        <v>0</v>
      </c>
      <c r="F37" s="209">
        <f>SUMIFS(gastos!S:S,gastos!M:M,ejec_ICPA!B37,gastos!P:P,ejec_ICPA!A37)</f>
        <v>0</v>
      </c>
      <c r="G37" s="209">
        <f>SUMIFS(gastos!T:T,gastos!M:M,ejec_ICPA!B37,gastos!P:P,ejec_ICPA!A37)</f>
        <v>19100000</v>
      </c>
      <c r="H37" s="209">
        <f>SUMIFS(gastos!U:U,gastos!M:M,ejec_ICPA!B37,gastos!P:P,ejec_ICPA!A37)</f>
        <v>0</v>
      </c>
      <c r="I37" s="209">
        <f t="shared" ref="I37:I38" si="32">D37+E37-F37+G37-H37</f>
        <v>322950000</v>
      </c>
      <c r="J37" s="209">
        <f>SUMIFS(gastos!W:W,gastos!M:M,ejec_ICPA!B37,gastos!P:P,ejec_ICPA!A37)</f>
        <v>253662368</v>
      </c>
      <c r="K37" s="209">
        <f>SUMIFS(gastos!X:X,gastos!$M:$M,ejec_ICPA!B37,gastos!$P:$P,ejec_ICPA!A37)</f>
        <v>253662368</v>
      </c>
      <c r="L37" s="209">
        <f>SUMIFS(gastos!$Z:$Z,gastos!$M:$M,ejec_ICPA!$B37,gastos!$P:$P,ejec_ICPA!$A37)</f>
        <v>253662368</v>
      </c>
      <c r="M37" s="209">
        <f>SUMIFS(gastos!$AE:$AE,gastos!$M:$M,ejec_ICPA!$B37,gastos!$P:$P,ejec_ICPA!$A37)</f>
        <v>47464016</v>
      </c>
      <c r="N37" s="209">
        <f>SUMIFS(gastos!AG:AG,gastos!$M:$M,ejec_ICPA!B37,gastos!$P:$P,ejec_ICPA!A37)</f>
        <v>-4993673</v>
      </c>
      <c r="O37" s="209">
        <f>SUMIFS(gastos!AH:AH,gastos!$M:$M,ejec_ICPA!$B37,gastos!$P:$P,ejec_ICPA!$A37)</f>
        <v>0</v>
      </c>
      <c r="P37" s="209">
        <f>SUMIFS(gastos!$AF:$AF,gastos!$M:$M,ejec_ICPA!$B37,gastos!$P:$P,ejec_ICPA!$A37)</f>
        <v>206198352</v>
      </c>
      <c r="Q37" s="209">
        <f>SUMIFS(gastos!AJ:AJ,gastos!$M:$M,ejec_ICPA!$B37,gastos!$P:$P,ejec_ICPA!$A37)</f>
        <v>0</v>
      </c>
      <c r="R37" s="209">
        <f t="shared" ref="R37:R38" si="33">K37-L37</f>
        <v>0</v>
      </c>
      <c r="S37" s="209">
        <f t="shared" ref="S37:S38" si="34">L37-J37</f>
        <v>0</v>
      </c>
      <c r="T37" s="209">
        <f t="shared" ref="T37:T38" si="35">J37-M37</f>
        <v>206198352</v>
      </c>
    </row>
    <row r="38" spans="1:24" x14ac:dyDescent="0.3">
      <c r="A38" s="111" t="s">
        <v>566</v>
      </c>
      <c r="B38" s="111" t="s">
        <v>565</v>
      </c>
      <c r="C38" s="209">
        <v>3605000</v>
      </c>
      <c r="D38" s="209">
        <f>SUMIFS(gastos!Q:Q,gastos!M:M,ejec_ICPA!B38,gastos!P:P,ejec_ICPA!A38)</f>
        <v>3605000</v>
      </c>
      <c r="E38" s="209">
        <f>SUMIFS(gastos!R:R,gastos!M:M,ejec_ICPA!B38,gastos!P:P,ejec_ICPA!A38)</f>
        <v>0</v>
      </c>
      <c r="F38" s="209">
        <f>SUMIFS(gastos!S:S,gastos!M:M,ejec_ICPA!B38,gastos!P:P,ejec_ICPA!A38)</f>
        <v>0</v>
      </c>
      <c r="G38" s="209">
        <f>SUMIFS(gastos!T:T,gastos!M:M,ejec_ICPA!B38,gastos!P:P,ejec_ICPA!A38)</f>
        <v>0</v>
      </c>
      <c r="H38" s="209">
        <f>SUMIFS(gastos!U:U,gastos!M:M,ejec_ICPA!B38,gastos!P:P,ejec_ICPA!A38)</f>
        <v>0</v>
      </c>
      <c r="I38" s="209">
        <f t="shared" si="32"/>
        <v>3605000</v>
      </c>
      <c r="J38" s="209">
        <f>SUMIFS(gastos!W:W,gastos!M:M,ejec_ICPA!B38,gastos!P:P,ejec_ICPA!A38)</f>
        <v>3218154</v>
      </c>
      <c r="K38" s="209">
        <f>SUMIFS(gastos!X:X,gastos!$M:$M,ejec_ICPA!B38,gastos!$P:$P,ejec_ICPA!A38)</f>
        <v>3218154</v>
      </c>
      <c r="L38" s="209">
        <f>SUMIFS(gastos!$Z:$Z,gastos!$M:$M,ejec_ICPA!$B38,gastos!$P:$P,ejec_ICPA!$A38)</f>
        <v>3218154</v>
      </c>
      <c r="M38" s="209">
        <f>SUMIFS(gastos!$AE:$AE,gastos!$M:$M,ejec_ICPA!$B38,gastos!$P:$P,ejec_ICPA!$A38)</f>
        <v>3218154</v>
      </c>
      <c r="N38" s="209">
        <f>SUMIFS(gastos!AG:AG,gastos!$M:$M,ejec_ICPA!B38,gastos!$P:$P,ejec_ICPA!A38)</f>
        <v>-386846</v>
      </c>
      <c r="O38" s="209">
        <f>SUMIFS(gastos!AH:AH,gastos!$M:$M,ejec_ICPA!$B38,gastos!$P:$P,ejec_ICPA!$A38)</f>
        <v>0</v>
      </c>
      <c r="P38" s="209">
        <f>SUMIFS(gastos!$AF:$AF,gastos!$M:$M,ejec_ICPA!$B38,gastos!$P:$P,ejec_ICPA!$A38)</f>
        <v>382874</v>
      </c>
      <c r="Q38" s="209">
        <f>SUMIFS(gastos!AJ:AJ,gastos!$M:$M,ejec_ICPA!$B38,gastos!$P:$P,ejec_ICPA!$A38)</f>
        <v>382874</v>
      </c>
      <c r="R38" s="209">
        <f t="shared" si="33"/>
        <v>0</v>
      </c>
      <c r="S38" s="209">
        <f t="shared" si="34"/>
        <v>0</v>
      </c>
      <c r="T38" s="209">
        <f t="shared" si="35"/>
        <v>0</v>
      </c>
    </row>
    <row r="39" spans="1:24" s="105" customFormat="1" x14ac:dyDescent="0.3">
      <c r="A39" s="113" t="s">
        <v>664</v>
      </c>
      <c r="B39" s="113" t="s">
        <v>621</v>
      </c>
      <c r="C39" s="207">
        <f>SUM(C40:C48)</f>
        <v>1621598617</v>
      </c>
      <c r="D39" s="207">
        <f t="shared" ref="D39:T39" si="36">SUM(D40:D48)</f>
        <v>1621598617</v>
      </c>
      <c r="E39" s="207">
        <f t="shared" si="36"/>
        <v>0</v>
      </c>
      <c r="F39" s="207">
        <f t="shared" si="36"/>
        <v>0</v>
      </c>
      <c r="G39" s="207">
        <f t="shared" si="36"/>
        <v>15000000</v>
      </c>
      <c r="H39" s="207">
        <f t="shared" si="36"/>
        <v>64100000</v>
      </c>
      <c r="I39" s="207">
        <f t="shared" si="36"/>
        <v>1572498617</v>
      </c>
      <c r="J39" s="207">
        <f t="shared" si="36"/>
        <v>1251406576</v>
      </c>
      <c r="K39" s="207">
        <f t="shared" si="36"/>
        <v>1251406576</v>
      </c>
      <c r="L39" s="207">
        <f t="shared" si="36"/>
        <v>1251406576</v>
      </c>
      <c r="M39" s="207">
        <f t="shared" si="36"/>
        <v>1209541897</v>
      </c>
      <c r="N39" s="207">
        <f t="shared" si="36"/>
        <v>-58454403</v>
      </c>
      <c r="O39" s="207">
        <f t="shared" si="36"/>
        <v>10865302</v>
      </c>
      <c r="P39" s="207">
        <f t="shared" si="36"/>
        <v>291251200</v>
      </c>
      <c r="Q39" s="207">
        <f t="shared" si="36"/>
        <v>252107657</v>
      </c>
      <c r="R39" s="207">
        <f t="shared" si="36"/>
        <v>0</v>
      </c>
      <c r="S39" s="207">
        <f t="shared" si="36"/>
        <v>0</v>
      </c>
      <c r="T39" s="207">
        <f t="shared" si="36"/>
        <v>41864679</v>
      </c>
      <c r="U39" s="208"/>
      <c r="V39" s="208"/>
      <c r="W39" s="208"/>
      <c r="X39" s="208"/>
    </row>
    <row r="40" spans="1:24" x14ac:dyDescent="0.3">
      <c r="A40" s="111" t="s">
        <v>568</v>
      </c>
      <c r="B40" s="111" t="s">
        <v>567</v>
      </c>
      <c r="C40" s="215">
        <v>63901200</v>
      </c>
      <c r="D40" s="209">
        <f>SUMIFS(gastos!Q:Q,gastos!M:M,ejec_ICPA!B40,gastos!P:P,ejec_ICPA!A40)</f>
        <v>63901200</v>
      </c>
      <c r="E40" s="209">
        <f>SUMIFS(gastos!R:R,gastos!M:M,ejec_ICPA!B40,gastos!P:P,ejec_ICPA!A40)</f>
        <v>0</v>
      </c>
      <c r="F40" s="209">
        <f>SUMIFS(gastos!S:S,gastos!M:M,ejec_ICPA!B40,gastos!P:P,ejec_ICPA!A40)</f>
        <v>0</v>
      </c>
      <c r="G40" s="209">
        <f>SUMIFS(gastos!T:T,gastos!M:M,ejec_ICPA!B40,gastos!P:P,ejec_ICPA!A40)</f>
        <v>15000000</v>
      </c>
      <c r="H40" s="209">
        <f>SUMIFS(gastos!U:U,gastos!M:M,ejec_ICPA!B40,gastos!P:P,ejec_ICPA!A40)</f>
        <v>0</v>
      </c>
      <c r="I40" s="209">
        <f t="shared" ref="I40:I48" si="37">D40+E40-F40+G40-H40</f>
        <v>78901200</v>
      </c>
      <c r="J40" s="209">
        <f>SUMIFS(gastos!W:W,gastos!M:M,ejec_ICPA!B40,gastos!P:P,ejec_ICPA!A40)</f>
        <v>41766576</v>
      </c>
      <c r="K40" s="209">
        <f>SUMIFS(gastos!X:X,gastos!$M:$M,ejec_ICPA!B40,gastos!$P:$P,ejec_ICPA!A40)</f>
        <v>41766576</v>
      </c>
      <c r="L40" s="209">
        <f>SUMIFS(gastos!$Z:$Z,gastos!$M:$M,ejec_ICPA!$B40,gastos!$P:$P,ejec_ICPA!$A40)</f>
        <v>41766576</v>
      </c>
      <c r="M40" s="209">
        <f>SUMIFS(gastos!$AE:$AE,gastos!$M:$M,ejec_ICPA!$B40,gastos!$P:$P,ejec_ICPA!$A40)</f>
        <v>7874475</v>
      </c>
      <c r="N40" s="209">
        <f>SUMIFS(gastos!AG:AG,gastos!$M:$M,ejec_ICPA!B40,gastos!$P:$P,ejec_ICPA!A40)</f>
        <v>-8633451</v>
      </c>
      <c r="O40" s="209">
        <f>SUMIFS(gastos!AH:AH,gastos!$M:$M,ejec_ICPA!$B40,gastos!$P:$P,ejec_ICPA!$A40)</f>
        <v>10865302</v>
      </c>
      <c r="P40" s="209">
        <f>SUMIFS(gastos!$AF:$AF,gastos!$M:$M,ejec_ICPA!$B40,gastos!$P:$P,ejec_ICPA!$A40)</f>
        <v>34534561</v>
      </c>
      <c r="Q40" s="209">
        <f>SUMIFS(gastos!AJ:AJ,gastos!$M:$M,ejec_ICPA!$B40,gastos!$P:$P,ejec_ICPA!$A40)</f>
        <v>642460</v>
      </c>
      <c r="R40" s="209">
        <f t="shared" ref="R40:R48" si="38">K40-L40</f>
        <v>0</v>
      </c>
      <c r="S40" s="209">
        <f t="shared" ref="S40:S48" si="39">L40-J40</f>
        <v>0</v>
      </c>
      <c r="T40" s="209">
        <f t="shared" ref="T40:T48" si="40">J40-M40</f>
        <v>33892101</v>
      </c>
    </row>
    <row r="41" spans="1:24" x14ac:dyDescent="0.3">
      <c r="A41" s="111" t="s">
        <v>570</v>
      </c>
      <c r="B41" s="111" t="s">
        <v>569</v>
      </c>
      <c r="C41" s="215">
        <f>(523750000*2)-95766864</f>
        <v>951733136</v>
      </c>
      <c r="D41" s="209">
        <f>SUMIFS(gastos!Q:Q,gastos!M:M,ejec_ICPA!B41,gastos!P:P,ejec_ICPA!A41)</f>
        <v>951733136</v>
      </c>
      <c r="E41" s="209">
        <f>SUMIFS(gastos!R:R,gastos!M:M,ejec_ICPA!B41,gastos!P:P,ejec_ICPA!A41)</f>
        <v>0</v>
      </c>
      <c r="F41" s="209">
        <f>SUMIFS(gastos!S:S,gastos!M:M,ejec_ICPA!B41,gastos!P:P,ejec_ICPA!A41)</f>
        <v>0</v>
      </c>
      <c r="G41" s="209">
        <f>SUMIFS(gastos!T:T,gastos!M:M,ejec_ICPA!B41,gastos!P:P,ejec_ICPA!A41)</f>
        <v>0</v>
      </c>
      <c r="H41" s="209">
        <f>SUMIFS(gastos!U:U,gastos!M:M,ejec_ICPA!B41,gastos!P:P,ejec_ICPA!A41)</f>
        <v>45000000</v>
      </c>
      <c r="I41" s="209">
        <f t="shared" si="37"/>
        <v>906733136</v>
      </c>
      <c r="J41" s="209">
        <f>SUMIFS(gastos!W:W,gastos!M:M,ejec_ICPA!B41,gastos!P:P,ejec_ICPA!A41)</f>
        <v>733359332</v>
      </c>
      <c r="K41" s="209">
        <f>SUMIFS(gastos!X:X,gastos!$M:$M,ejec_ICPA!B41,gastos!$P:$P,ejec_ICPA!A41)</f>
        <v>733359332</v>
      </c>
      <c r="L41" s="209">
        <f>SUMIFS(gastos!$Z:$Z,gastos!$M:$M,ejec_ICPA!$B41,gastos!$P:$P,ejec_ICPA!$A41)</f>
        <v>733359332</v>
      </c>
      <c r="M41" s="209">
        <f>SUMIFS(gastos!$AE:$AE,gastos!$M:$M,ejec_ICPA!$B41,gastos!$P:$P,ejec_ICPA!$A41)</f>
        <v>733359332</v>
      </c>
      <c r="N41" s="209">
        <f>SUMIFS(gastos!AG:AG,gastos!$M:$M,ejec_ICPA!B41,gastos!$P:$P,ejec_ICPA!A41)</f>
        <v>-27132315</v>
      </c>
      <c r="O41" s="209">
        <f>SUMIFS(gastos!AH:AH,gastos!$M:$M,ejec_ICPA!$B41,gastos!$P:$P,ejec_ICPA!$A41)</f>
        <v>0</v>
      </c>
      <c r="P41" s="209">
        <f>SUMIFS(gastos!$AF:$AF,gastos!$M:$M,ejec_ICPA!$B41,gastos!$P:$P,ejec_ICPA!$A41)</f>
        <v>139250690</v>
      </c>
      <c r="Q41" s="209">
        <f>SUMIFS(gastos!AJ:AJ,gastos!$M:$M,ejec_ICPA!$B41,gastos!$P:$P,ejec_ICPA!$A41)</f>
        <v>139250690</v>
      </c>
      <c r="R41" s="209">
        <f t="shared" si="38"/>
        <v>0</v>
      </c>
      <c r="S41" s="209">
        <f t="shared" si="39"/>
        <v>0</v>
      </c>
      <c r="T41" s="209">
        <f t="shared" si="40"/>
        <v>0</v>
      </c>
    </row>
    <row r="42" spans="1:24" x14ac:dyDescent="0.3">
      <c r="A42" s="111" t="s">
        <v>605</v>
      </c>
      <c r="B42" s="111" t="s">
        <v>604</v>
      </c>
      <c r="C42" s="215">
        <v>95766864</v>
      </c>
      <c r="D42" s="209">
        <f>SUMIFS(gastos!Q:Q,gastos!M:M,ejec_ICPA!B42,gastos!P:P,ejec_ICPA!A42)</f>
        <v>95766864</v>
      </c>
      <c r="E42" s="209">
        <f>SUMIFS(gastos!R:R,gastos!M:M,ejec_ICPA!B42,gastos!P:P,ejec_ICPA!A42)</f>
        <v>0</v>
      </c>
      <c r="F42" s="209">
        <f>SUMIFS(gastos!S:S,gastos!M:M,ejec_ICPA!B42,gastos!P:P,ejec_ICPA!A42)</f>
        <v>0</v>
      </c>
      <c r="G42" s="209">
        <f>SUMIFS(gastos!T:T,gastos!M:M,ejec_ICPA!B42,gastos!P:P,ejec_ICPA!A42)</f>
        <v>0</v>
      </c>
      <c r="H42" s="209">
        <f>SUMIFS(gastos!U:U,gastos!M:M,ejec_ICPA!B42,gastos!P:P,ejec_ICPA!A42)</f>
        <v>0</v>
      </c>
      <c r="I42" s="209">
        <f t="shared" si="37"/>
        <v>95766864</v>
      </c>
      <c r="J42" s="209">
        <f>SUMIFS(gastos!W:W,gastos!M:M,ejec_ICPA!B42,gastos!P:P,ejec_ICPA!A42)</f>
        <v>94127759</v>
      </c>
      <c r="K42" s="209">
        <f>SUMIFS(gastos!X:X,gastos!$M:$M,ejec_ICPA!B42,gastos!$P:$P,ejec_ICPA!A42)</f>
        <v>94127759</v>
      </c>
      <c r="L42" s="209">
        <f>SUMIFS(gastos!$Z:$Z,gastos!$M:$M,ejec_ICPA!$B42,gastos!$P:$P,ejec_ICPA!$A42)</f>
        <v>94127759</v>
      </c>
      <c r="M42" s="209">
        <f>SUMIFS(gastos!$AE:$AE,gastos!$M:$M,ejec_ICPA!$B42,gastos!$P:$P,ejec_ICPA!$A42)</f>
        <v>94127759</v>
      </c>
      <c r="N42" s="209">
        <f>SUMIFS(gastos!AG:AG,gastos!$M:$M,ejec_ICPA!B42,gastos!$P:$P,ejec_ICPA!A42)</f>
        <v>-771007</v>
      </c>
      <c r="O42" s="209">
        <f>SUMIFS(gastos!AH:AH,gastos!$M:$M,ejec_ICPA!$B42,gastos!$P:$P,ejec_ICPA!$A42)</f>
        <v>0</v>
      </c>
      <c r="P42" s="209">
        <f>SUMIFS(gastos!$AF:$AF,gastos!$M:$M,ejec_ICPA!$B42,gastos!$P:$P,ejec_ICPA!$A42)</f>
        <v>0</v>
      </c>
      <c r="Q42" s="209">
        <f>SUMIFS(gastos!AJ:AJ,gastos!$M:$M,ejec_ICPA!$B42,gastos!$P:$P,ejec_ICPA!$A42)</f>
        <v>0</v>
      </c>
      <c r="R42" s="209">
        <f t="shared" si="38"/>
        <v>0</v>
      </c>
      <c r="S42" s="209">
        <f t="shared" si="39"/>
        <v>0</v>
      </c>
      <c r="T42" s="209">
        <f t="shared" si="40"/>
        <v>0</v>
      </c>
    </row>
    <row r="43" spans="1:24" x14ac:dyDescent="0.3">
      <c r="A43" s="111" t="s">
        <v>572</v>
      </c>
      <c r="B43" s="111" t="s">
        <v>571</v>
      </c>
      <c r="C43" s="215">
        <v>41200000</v>
      </c>
      <c r="D43" s="209">
        <f>SUMIFS(gastos!Q:Q,gastos!M:M,ejec_ICPA!B43,gastos!P:P,ejec_ICPA!A43)</f>
        <v>41200000</v>
      </c>
      <c r="E43" s="209">
        <f>SUMIFS(gastos!R:R,gastos!M:M,ejec_ICPA!B43,gastos!P:P,ejec_ICPA!A43)</f>
        <v>0</v>
      </c>
      <c r="F43" s="209">
        <f>SUMIFS(gastos!S:S,gastos!M:M,ejec_ICPA!B43,gastos!P:P,ejec_ICPA!A43)</f>
        <v>0</v>
      </c>
      <c r="G43" s="209">
        <f>SUMIFS(gastos!T:T,gastos!M:M,ejec_ICPA!B43,gastos!P:P,ejec_ICPA!A43)</f>
        <v>0</v>
      </c>
      <c r="H43" s="209">
        <f>SUMIFS(gastos!U:U,gastos!M:M,ejec_ICPA!B43,gastos!P:P,ejec_ICPA!A43)</f>
        <v>0</v>
      </c>
      <c r="I43" s="209">
        <f t="shared" si="37"/>
        <v>41200000</v>
      </c>
      <c r="J43" s="209">
        <f>SUMIFS(gastos!W:W,gastos!M:M,ejec_ICPA!B43,gastos!P:P,ejec_ICPA!A43)</f>
        <v>34500000</v>
      </c>
      <c r="K43" s="209">
        <f>SUMIFS(gastos!X:X,gastos!$M:$M,ejec_ICPA!B43,gastos!$P:$P,ejec_ICPA!A43)</f>
        <v>34500000</v>
      </c>
      <c r="L43" s="209">
        <f>SUMIFS(gastos!$Z:$Z,gastos!$M:$M,ejec_ICPA!$B43,gastos!$P:$P,ejec_ICPA!$A43)</f>
        <v>34500000</v>
      </c>
      <c r="M43" s="209">
        <f>SUMIFS(gastos!$AE:$AE,gastos!$M:$M,ejec_ICPA!$B43,gastos!$P:$P,ejec_ICPA!$A43)</f>
        <v>34500000</v>
      </c>
      <c r="N43" s="209">
        <f>SUMIFS(gastos!AG:AG,gastos!$M:$M,ejec_ICPA!B43,gastos!$P:$P,ejec_ICPA!A43)</f>
        <v>0</v>
      </c>
      <c r="O43" s="209">
        <f>SUMIFS(gastos!AH:AH,gastos!$M:$M,ejec_ICPA!$B43,gastos!$P:$P,ejec_ICPA!$A43)</f>
        <v>0</v>
      </c>
      <c r="P43" s="209">
        <f>SUMIFS(gastos!$AF:$AF,gastos!$M:$M,ejec_ICPA!$B43,gastos!$P:$P,ejec_ICPA!$A43)</f>
        <v>34500000</v>
      </c>
      <c r="Q43" s="209">
        <f>SUMIFS(gastos!AJ:AJ,gastos!$M:$M,ejec_ICPA!$B43,gastos!$P:$P,ejec_ICPA!$A43)</f>
        <v>34500000</v>
      </c>
      <c r="R43" s="209">
        <f t="shared" si="38"/>
        <v>0</v>
      </c>
      <c r="S43" s="209">
        <f t="shared" si="39"/>
        <v>0</v>
      </c>
      <c r="T43" s="209">
        <f t="shared" si="40"/>
        <v>0</v>
      </c>
    </row>
    <row r="44" spans="1:24" x14ac:dyDescent="0.3">
      <c r="A44" s="111" t="s">
        <v>574</v>
      </c>
      <c r="B44" s="111" t="s">
        <v>573</v>
      </c>
      <c r="C44" s="215">
        <v>10815000</v>
      </c>
      <c r="D44" s="209">
        <f>SUMIFS(gastos!Q:Q,gastos!M:M,ejec_ICPA!B44,gastos!P:P,ejec_ICPA!A44)</f>
        <v>10815000</v>
      </c>
      <c r="E44" s="209">
        <f>SUMIFS(gastos!R:R,gastos!M:M,ejec_ICPA!B44,gastos!P:P,ejec_ICPA!A44)</f>
        <v>0</v>
      </c>
      <c r="F44" s="209">
        <f>SUMIFS(gastos!S:S,gastos!M:M,ejec_ICPA!B44,gastos!P:P,ejec_ICPA!A44)</f>
        <v>0</v>
      </c>
      <c r="G44" s="209">
        <f>SUMIFS(gastos!T:T,gastos!M:M,ejec_ICPA!B44,gastos!P:P,ejec_ICPA!A44)</f>
        <v>0</v>
      </c>
      <c r="H44" s="209">
        <f>SUMIFS(gastos!U:U,gastos!M:M,ejec_ICPA!B44,gastos!P:P,ejec_ICPA!A44)</f>
        <v>0</v>
      </c>
      <c r="I44" s="209">
        <f t="shared" si="37"/>
        <v>10815000</v>
      </c>
      <c r="J44" s="209">
        <f>SUMIFS(gastos!W:W,gastos!M:M,ejec_ICPA!B44,gastos!P:P,ejec_ICPA!A44)</f>
        <v>1845612</v>
      </c>
      <c r="K44" s="209">
        <f>SUMIFS(gastos!X:X,gastos!$M:$M,ejec_ICPA!B44,gastos!$P:$P,ejec_ICPA!A44)</f>
        <v>1845612</v>
      </c>
      <c r="L44" s="209">
        <f>SUMIFS(gastos!$Z:$Z,gastos!$M:$M,ejec_ICPA!$B44,gastos!$P:$P,ejec_ICPA!$A44)</f>
        <v>1845612</v>
      </c>
      <c r="M44" s="209">
        <f>SUMIFS(gastos!$AE:$AE,gastos!$M:$M,ejec_ICPA!$B44,gastos!$P:$P,ejec_ICPA!$A44)</f>
        <v>1845612</v>
      </c>
      <c r="N44" s="209">
        <f>SUMIFS(gastos!AG:AG,gastos!$M:$M,ejec_ICPA!B44,gastos!$P:$P,ejec_ICPA!A44)</f>
        <v>-800000</v>
      </c>
      <c r="O44" s="209">
        <f>SUMIFS(gastos!AH:AH,gastos!$M:$M,ejec_ICPA!$B44,gastos!$P:$P,ejec_ICPA!$A44)</f>
        <v>0</v>
      </c>
      <c r="P44" s="209">
        <f>SUMIFS(gastos!$AF:$AF,gastos!$M:$M,ejec_ICPA!$B44,gastos!$P:$P,ejec_ICPA!$A44)</f>
        <v>0</v>
      </c>
      <c r="Q44" s="209">
        <f>SUMIFS(gastos!AJ:AJ,gastos!$M:$M,ejec_ICPA!$B44,gastos!$P:$P,ejec_ICPA!$A44)</f>
        <v>0</v>
      </c>
      <c r="R44" s="209">
        <f t="shared" si="38"/>
        <v>0</v>
      </c>
      <c r="S44" s="209">
        <f t="shared" si="39"/>
        <v>0</v>
      </c>
      <c r="T44" s="209">
        <f t="shared" si="40"/>
        <v>0</v>
      </c>
    </row>
    <row r="45" spans="1:24" x14ac:dyDescent="0.3">
      <c r="A45" s="111" t="s">
        <v>576</v>
      </c>
      <c r="B45" s="111" t="s">
        <v>575</v>
      </c>
      <c r="C45" s="215">
        <v>113300000</v>
      </c>
      <c r="D45" s="209">
        <f>SUMIFS(gastos!Q:Q,gastos!M:M,ejec_ICPA!B45,gastos!P:P,ejec_ICPA!A45)</f>
        <v>113300000</v>
      </c>
      <c r="E45" s="209">
        <f>SUMIFS(gastos!R:R,gastos!M:M,ejec_ICPA!B45,gastos!P:P,ejec_ICPA!A45)</f>
        <v>0</v>
      </c>
      <c r="F45" s="209">
        <f>SUMIFS(gastos!S:S,gastos!M:M,ejec_ICPA!B45,gastos!P:P,ejec_ICPA!A45)</f>
        <v>0</v>
      </c>
      <c r="G45" s="209">
        <f>SUMIFS(gastos!T:T,gastos!M:M,ejec_ICPA!B45,gastos!P:P,ejec_ICPA!A45)</f>
        <v>0</v>
      </c>
      <c r="H45" s="209">
        <f>SUMIFS(gastos!U:U,gastos!M:M,ejec_ICPA!B45,gastos!P:P,ejec_ICPA!A45)</f>
        <v>0</v>
      </c>
      <c r="I45" s="209">
        <f t="shared" si="37"/>
        <v>113300000</v>
      </c>
      <c r="J45" s="209">
        <f>SUMIFS(gastos!W:W,gastos!M:M,ejec_ICPA!B45,gastos!P:P,ejec_ICPA!A45)</f>
        <v>97883416</v>
      </c>
      <c r="K45" s="209">
        <f>SUMIFS(gastos!X:X,gastos!$M:$M,ejec_ICPA!B45,gastos!$P:$P,ejec_ICPA!A45)</f>
        <v>97883416</v>
      </c>
      <c r="L45" s="209">
        <f>SUMIFS(gastos!$Z:$Z,gastos!$M:$M,ejec_ICPA!$B45,gastos!$P:$P,ejec_ICPA!$A45)</f>
        <v>97883416</v>
      </c>
      <c r="M45" s="209">
        <f>SUMIFS(gastos!$AE:$AE,gastos!$M:$M,ejec_ICPA!$B45,gastos!$P:$P,ejec_ICPA!$A45)</f>
        <v>97883416</v>
      </c>
      <c r="N45" s="209">
        <f>SUMIFS(gastos!AG:AG,gastos!$M:$M,ejec_ICPA!B45,gastos!$P:$P,ejec_ICPA!A45)</f>
        <v>-2116584</v>
      </c>
      <c r="O45" s="209">
        <f>SUMIFS(gastos!AH:AH,gastos!$M:$M,ejec_ICPA!$B45,gastos!$P:$P,ejec_ICPA!$A45)</f>
        <v>0</v>
      </c>
      <c r="P45" s="209">
        <f>SUMIFS(gastos!$AF:$AF,gastos!$M:$M,ejec_ICPA!$B45,gastos!$P:$P,ejec_ICPA!$A45)</f>
        <v>9835830</v>
      </c>
      <c r="Q45" s="209">
        <f>SUMIFS(gastos!AJ:AJ,gastos!$M:$M,ejec_ICPA!$B45,gastos!$P:$P,ejec_ICPA!$A45)</f>
        <v>9835830</v>
      </c>
      <c r="R45" s="209">
        <f t="shared" si="38"/>
        <v>0</v>
      </c>
      <c r="S45" s="209">
        <f t="shared" si="39"/>
        <v>0</v>
      </c>
      <c r="T45" s="209">
        <f t="shared" si="40"/>
        <v>0</v>
      </c>
    </row>
    <row r="46" spans="1:24" x14ac:dyDescent="0.3">
      <c r="A46" s="111" t="s">
        <v>578</v>
      </c>
      <c r="B46" s="111" t="s">
        <v>577</v>
      </c>
      <c r="C46" s="215">
        <v>36050000</v>
      </c>
      <c r="D46" s="209">
        <f>SUMIFS(gastos!Q:Q,gastos!M:M,ejec_ICPA!B46,gastos!P:P,ejec_ICPA!A46)</f>
        <v>36050000</v>
      </c>
      <c r="E46" s="209">
        <f>SUMIFS(gastos!R:R,gastos!M:M,ejec_ICPA!B46,gastos!P:P,ejec_ICPA!A46)</f>
        <v>0</v>
      </c>
      <c r="F46" s="209">
        <f>SUMIFS(gastos!S:S,gastos!M:M,ejec_ICPA!B46,gastos!P:P,ejec_ICPA!A46)</f>
        <v>0</v>
      </c>
      <c r="G46" s="209">
        <f>SUMIFS(gastos!T:T,gastos!M:M,ejec_ICPA!B46,gastos!P:P,ejec_ICPA!A46)</f>
        <v>0</v>
      </c>
      <c r="H46" s="209">
        <f>SUMIFS(gastos!U:U,gastos!M:M,ejec_ICPA!B46,gastos!P:P,ejec_ICPA!A46)</f>
        <v>0</v>
      </c>
      <c r="I46" s="209">
        <f t="shared" si="37"/>
        <v>36050000</v>
      </c>
      <c r="J46" s="209">
        <f>SUMIFS(gastos!W:W,gastos!M:M,ejec_ICPA!B46,gastos!P:P,ejec_ICPA!A46)</f>
        <v>22781980</v>
      </c>
      <c r="K46" s="209">
        <f>SUMIFS(gastos!X:X,gastos!$M:$M,ejec_ICPA!B46,gastos!$P:$P,ejec_ICPA!A46)</f>
        <v>22781980</v>
      </c>
      <c r="L46" s="209">
        <f>SUMIFS(gastos!$Z:$Z,gastos!$M:$M,ejec_ICPA!$B46,gastos!$P:$P,ejec_ICPA!$A46)</f>
        <v>22781980</v>
      </c>
      <c r="M46" s="209">
        <f>SUMIFS(gastos!$AE:$AE,gastos!$M:$M,ejec_ICPA!$B46,gastos!$P:$P,ejec_ICPA!$A46)</f>
        <v>20927171</v>
      </c>
      <c r="N46" s="209">
        <f>SUMIFS(gastos!AG:AG,gastos!$M:$M,ejec_ICPA!B46,gastos!$P:$P,ejec_ICPA!A46)</f>
        <v>-7218020</v>
      </c>
      <c r="O46" s="209">
        <f>SUMIFS(gastos!AH:AH,gastos!$M:$M,ejec_ICPA!$B46,gastos!$P:$P,ejec_ICPA!$A46)</f>
        <v>0</v>
      </c>
      <c r="P46" s="209">
        <f>SUMIFS(gastos!$AF:$AF,gastos!$M:$M,ejec_ICPA!$B46,gastos!$P:$P,ejec_ICPA!$A46)</f>
        <v>1854809</v>
      </c>
      <c r="Q46" s="209">
        <f>SUMIFS(gastos!AJ:AJ,gastos!$M:$M,ejec_ICPA!$B46,gastos!$P:$P,ejec_ICPA!$A46)</f>
        <v>1902020</v>
      </c>
      <c r="R46" s="209">
        <f t="shared" si="38"/>
        <v>0</v>
      </c>
      <c r="S46" s="209">
        <f t="shared" si="39"/>
        <v>0</v>
      </c>
      <c r="T46" s="209">
        <f t="shared" si="40"/>
        <v>1854809</v>
      </c>
    </row>
    <row r="47" spans="1:24" x14ac:dyDescent="0.3">
      <c r="A47" s="111" t="s">
        <v>580</v>
      </c>
      <c r="B47" s="111" t="s">
        <v>579</v>
      </c>
      <c r="C47" s="215">
        <v>31930000</v>
      </c>
      <c r="D47" s="209">
        <f>SUMIFS(gastos!Q:Q,gastos!M:M,ejec_ICPA!B47,gastos!P:P,ejec_ICPA!A47)</f>
        <v>31930000</v>
      </c>
      <c r="E47" s="209">
        <f>SUMIFS(gastos!R:R,gastos!M:M,ejec_ICPA!B47,gastos!P:P,ejec_ICPA!A47)</f>
        <v>0</v>
      </c>
      <c r="F47" s="209">
        <f>SUMIFS(gastos!S:S,gastos!M:M,ejec_ICPA!B47,gastos!P:P,ejec_ICPA!A47)</f>
        <v>0</v>
      </c>
      <c r="G47" s="209">
        <f>SUMIFS(gastos!T:T,gastos!M:M,ejec_ICPA!B47,gastos!P:P,ejec_ICPA!A47)</f>
        <v>0</v>
      </c>
      <c r="H47" s="209">
        <f>SUMIFS(gastos!U:U,gastos!M:M,ejec_ICPA!B47,gastos!P:P,ejec_ICPA!A47)</f>
        <v>0</v>
      </c>
      <c r="I47" s="209">
        <f t="shared" si="37"/>
        <v>31930000</v>
      </c>
      <c r="J47" s="209">
        <f>SUMIFS(gastos!W:W,gastos!M:M,ejec_ICPA!B47,gastos!P:P,ejec_ICPA!A47)</f>
        <v>13851842</v>
      </c>
      <c r="K47" s="209">
        <f>SUMIFS(gastos!X:X,gastos!$M:$M,ejec_ICPA!B47,gastos!$P:$P,ejec_ICPA!A47)</f>
        <v>13851842</v>
      </c>
      <c r="L47" s="209">
        <f>SUMIFS(gastos!$Z:$Z,gastos!$M:$M,ejec_ICPA!$B47,gastos!$P:$P,ejec_ICPA!$A47)</f>
        <v>13851842</v>
      </c>
      <c r="M47" s="209">
        <f>SUMIFS(gastos!$AE:$AE,gastos!$M:$M,ejec_ICPA!$B47,gastos!$P:$P,ejec_ICPA!$A47)</f>
        <v>13851842</v>
      </c>
      <c r="N47" s="209">
        <f>SUMIFS(gastos!AG:AG,gastos!$M:$M,ejec_ICPA!B47,gastos!$P:$P,ejec_ICPA!A47)</f>
        <v>-1148158</v>
      </c>
      <c r="O47" s="209">
        <f>SUMIFS(gastos!AH:AH,gastos!$M:$M,ejec_ICPA!$B47,gastos!$P:$P,ejec_ICPA!$A47)</f>
        <v>0</v>
      </c>
      <c r="P47" s="209">
        <f>SUMIFS(gastos!$AF:$AF,gastos!$M:$M,ejec_ICPA!$B47,gastos!$P:$P,ejec_ICPA!$A47)</f>
        <v>1539179</v>
      </c>
      <c r="Q47" s="209">
        <f>SUMIFS(gastos!AJ:AJ,gastos!$M:$M,ejec_ICPA!$B47,gastos!$P:$P,ejec_ICPA!$A47)</f>
        <v>1539179</v>
      </c>
      <c r="R47" s="209">
        <f t="shared" si="38"/>
        <v>0</v>
      </c>
      <c r="S47" s="209">
        <f t="shared" si="39"/>
        <v>0</v>
      </c>
      <c r="T47" s="209">
        <f t="shared" si="40"/>
        <v>0</v>
      </c>
    </row>
    <row r="48" spans="1:24" x14ac:dyDescent="0.3">
      <c r="A48" s="111" t="s">
        <v>582</v>
      </c>
      <c r="B48" s="111" t="s">
        <v>581</v>
      </c>
      <c r="C48" s="215">
        <f>123806000+82400000+70696417</f>
        <v>276902417</v>
      </c>
      <c r="D48" s="209">
        <f>SUMIFS(gastos!Q:Q,gastos!M:M,ejec_ICPA!B48,gastos!P:P,ejec_ICPA!A48)</f>
        <v>276902417</v>
      </c>
      <c r="E48" s="209">
        <f>SUMIFS(gastos!R:R,gastos!M:M,ejec_ICPA!B48,gastos!P:P,ejec_ICPA!A48)</f>
        <v>0</v>
      </c>
      <c r="F48" s="209">
        <f>SUMIFS(gastos!S:S,gastos!M:M,ejec_ICPA!B48,gastos!P:P,ejec_ICPA!A48)</f>
        <v>0</v>
      </c>
      <c r="G48" s="209">
        <f>SUMIFS(gastos!T:T,gastos!M:M,ejec_ICPA!B48,gastos!P:P,ejec_ICPA!A48)</f>
        <v>0</v>
      </c>
      <c r="H48" s="209">
        <f>SUMIFS(gastos!U:U,gastos!M:M,ejec_ICPA!B48,gastos!P:P,ejec_ICPA!A48)</f>
        <v>19100000</v>
      </c>
      <c r="I48" s="209">
        <f t="shared" si="37"/>
        <v>257802417</v>
      </c>
      <c r="J48" s="209">
        <f>SUMIFS(gastos!W:W,gastos!M:M,ejec_ICPA!B48,gastos!P:P,ejec_ICPA!A48)</f>
        <v>211290059</v>
      </c>
      <c r="K48" s="209">
        <f>SUMIFS(gastos!X:X,gastos!$M:$M,ejec_ICPA!B48,gastos!$P:$P,ejec_ICPA!A48)</f>
        <v>211290059</v>
      </c>
      <c r="L48" s="209">
        <f>SUMIFS(gastos!$Z:$Z,gastos!$M:$M,ejec_ICPA!$B48,gastos!$P:$P,ejec_ICPA!$A48)</f>
        <v>211290059</v>
      </c>
      <c r="M48" s="209">
        <f>SUMIFS(gastos!$AE:$AE,gastos!$M:$M,ejec_ICPA!$B48,gastos!$P:$P,ejec_ICPA!$A48)</f>
        <v>205172290</v>
      </c>
      <c r="N48" s="209">
        <f>SUMIFS(gastos!AG:AG,gastos!$M:$M,ejec_ICPA!B48,gastos!$P:$P,ejec_ICPA!A48)</f>
        <v>-10634868</v>
      </c>
      <c r="O48" s="209">
        <f>SUMIFS(gastos!AH:AH,gastos!$M:$M,ejec_ICPA!$B48,gastos!$P:$P,ejec_ICPA!$A48)</f>
        <v>0</v>
      </c>
      <c r="P48" s="209">
        <f>SUMIFS(gastos!$AF:$AF,gastos!$M:$M,ejec_ICPA!$B48,gastos!$P:$P,ejec_ICPA!$A48)</f>
        <v>69736131</v>
      </c>
      <c r="Q48" s="209">
        <f>SUMIFS(gastos!AJ:AJ,gastos!$M:$M,ejec_ICPA!$B48,gastos!$P:$P,ejec_ICPA!$A48)</f>
        <v>64437478</v>
      </c>
      <c r="R48" s="209">
        <f t="shared" si="38"/>
        <v>0</v>
      </c>
      <c r="S48" s="209">
        <f t="shared" si="39"/>
        <v>0</v>
      </c>
      <c r="T48" s="209">
        <f t="shared" si="40"/>
        <v>6117769</v>
      </c>
    </row>
    <row r="49" spans="1:24" s="105" customFormat="1" x14ac:dyDescent="0.3">
      <c r="A49" s="113" t="s">
        <v>665</v>
      </c>
      <c r="B49" s="113" t="s">
        <v>622</v>
      </c>
      <c r="C49" s="216">
        <f>C50</f>
        <v>3200000</v>
      </c>
      <c r="D49" s="216">
        <f t="shared" ref="D49:T50" si="41">D50</f>
        <v>3200000</v>
      </c>
      <c r="E49" s="216">
        <f t="shared" si="41"/>
        <v>0</v>
      </c>
      <c r="F49" s="216">
        <f t="shared" si="41"/>
        <v>0</v>
      </c>
      <c r="G49" s="216">
        <f t="shared" si="41"/>
        <v>0</v>
      </c>
      <c r="H49" s="216">
        <f t="shared" si="41"/>
        <v>0</v>
      </c>
      <c r="I49" s="216">
        <f t="shared" si="41"/>
        <v>3200000</v>
      </c>
      <c r="J49" s="216">
        <f t="shared" si="41"/>
        <v>478000</v>
      </c>
      <c r="K49" s="216">
        <f t="shared" si="41"/>
        <v>478000</v>
      </c>
      <c r="L49" s="216">
        <f t="shared" si="41"/>
        <v>478000</v>
      </c>
      <c r="M49" s="216">
        <f t="shared" si="41"/>
        <v>478000</v>
      </c>
      <c r="N49" s="216">
        <f t="shared" si="41"/>
        <v>0</v>
      </c>
      <c r="O49" s="216">
        <f t="shared" si="41"/>
        <v>0</v>
      </c>
      <c r="P49" s="216">
        <f t="shared" si="41"/>
        <v>0</v>
      </c>
      <c r="Q49" s="216">
        <f t="shared" si="41"/>
        <v>0</v>
      </c>
      <c r="R49" s="216">
        <f t="shared" si="41"/>
        <v>0</v>
      </c>
      <c r="S49" s="216">
        <f t="shared" si="41"/>
        <v>0</v>
      </c>
      <c r="T49" s="216">
        <f t="shared" si="41"/>
        <v>0</v>
      </c>
      <c r="U49" s="208"/>
      <c r="V49" s="208"/>
      <c r="W49" s="208"/>
      <c r="X49" s="208"/>
    </row>
    <row r="50" spans="1:24" s="105" customFormat="1" x14ac:dyDescent="0.3">
      <c r="A50" s="113" t="s">
        <v>666</v>
      </c>
      <c r="B50" s="113" t="s">
        <v>103</v>
      </c>
      <c r="C50" s="216">
        <f>C51</f>
        <v>3200000</v>
      </c>
      <c r="D50" s="216">
        <f t="shared" si="41"/>
        <v>3200000</v>
      </c>
      <c r="E50" s="216">
        <f t="shared" si="41"/>
        <v>0</v>
      </c>
      <c r="F50" s="216">
        <f t="shared" si="41"/>
        <v>0</v>
      </c>
      <c r="G50" s="216">
        <f t="shared" si="41"/>
        <v>0</v>
      </c>
      <c r="H50" s="216">
        <f t="shared" si="41"/>
        <v>0</v>
      </c>
      <c r="I50" s="216">
        <f t="shared" si="41"/>
        <v>3200000</v>
      </c>
      <c r="J50" s="216">
        <f t="shared" si="41"/>
        <v>478000</v>
      </c>
      <c r="K50" s="216">
        <f t="shared" si="41"/>
        <v>478000</v>
      </c>
      <c r="L50" s="216">
        <f t="shared" si="41"/>
        <v>478000</v>
      </c>
      <c r="M50" s="216">
        <f t="shared" si="41"/>
        <v>478000</v>
      </c>
      <c r="N50" s="216">
        <f t="shared" si="41"/>
        <v>0</v>
      </c>
      <c r="O50" s="216">
        <f t="shared" si="41"/>
        <v>0</v>
      </c>
      <c r="P50" s="216">
        <f t="shared" si="41"/>
        <v>0</v>
      </c>
      <c r="Q50" s="216">
        <f t="shared" si="41"/>
        <v>0</v>
      </c>
      <c r="R50" s="216">
        <f t="shared" si="41"/>
        <v>0</v>
      </c>
      <c r="S50" s="216">
        <f t="shared" si="41"/>
        <v>0</v>
      </c>
      <c r="T50" s="216">
        <f t="shared" si="41"/>
        <v>0</v>
      </c>
      <c r="U50" s="208"/>
      <c r="V50" s="208"/>
      <c r="W50" s="208"/>
      <c r="X50" s="208"/>
    </row>
    <row r="51" spans="1:24" s="105" customFormat="1" x14ac:dyDescent="0.3">
      <c r="A51" s="113" t="s">
        <v>667</v>
      </c>
      <c r="B51" s="113" t="s">
        <v>623</v>
      </c>
      <c r="C51" s="216">
        <f>SUM(C52:C54)</f>
        <v>3200000</v>
      </c>
      <c r="D51" s="216">
        <f t="shared" ref="D51:T51" si="42">SUM(D52:D54)</f>
        <v>3200000</v>
      </c>
      <c r="E51" s="216">
        <f t="shared" si="42"/>
        <v>0</v>
      </c>
      <c r="F51" s="216">
        <f t="shared" si="42"/>
        <v>0</v>
      </c>
      <c r="G51" s="216">
        <f t="shared" si="42"/>
        <v>0</v>
      </c>
      <c r="H51" s="216">
        <f t="shared" si="42"/>
        <v>0</v>
      </c>
      <c r="I51" s="216">
        <f t="shared" si="42"/>
        <v>3200000</v>
      </c>
      <c r="J51" s="216">
        <f t="shared" si="42"/>
        <v>478000</v>
      </c>
      <c r="K51" s="216">
        <f t="shared" si="42"/>
        <v>478000</v>
      </c>
      <c r="L51" s="216">
        <f t="shared" si="42"/>
        <v>478000</v>
      </c>
      <c r="M51" s="216">
        <f t="shared" si="42"/>
        <v>478000</v>
      </c>
      <c r="N51" s="216">
        <f t="shared" si="42"/>
        <v>0</v>
      </c>
      <c r="O51" s="216">
        <f t="shared" si="42"/>
        <v>0</v>
      </c>
      <c r="P51" s="216">
        <f t="shared" si="42"/>
        <v>0</v>
      </c>
      <c r="Q51" s="216">
        <f t="shared" si="42"/>
        <v>0</v>
      </c>
      <c r="R51" s="216">
        <f t="shared" si="42"/>
        <v>0</v>
      </c>
      <c r="S51" s="216">
        <f t="shared" si="42"/>
        <v>0</v>
      </c>
      <c r="T51" s="216">
        <f t="shared" si="42"/>
        <v>0</v>
      </c>
      <c r="U51" s="208"/>
      <c r="V51" s="208"/>
      <c r="W51" s="208"/>
      <c r="X51" s="208"/>
    </row>
    <row r="52" spans="1:24" x14ac:dyDescent="0.3">
      <c r="A52" s="111" t="s">
        <v>584</v>
      </c>
      <c r="B52" s="111" t="s">
        <v>583</v>
      </c>
      <c r="C52" s="215">
        <v>1000000</v>
      </c>
      <c r="D52" s="209">
        <f>SUMIFS(gastos!Q:Q,gastos!M:M,ejec_ICPA!B52,gastos!P:P,ejec_ICPA!A52)</f>
        <v>1000000</v>
      </c>
      <c r="E52" s="209">
        <f>SUMIFS(gastos!R:R,gastos!M:M,ejec_ICPA!B52,gastos!P:P,ejec_ICPA!A52)</f>
        <v>0</v>
      </c>
      <c r="F52" s="209">
        <f>SUMIFS(gastos!S:S,gastos!M:M,ejec_ICPA!B52,gastos!P:P,ejec_ICPA!A52)</f>
        <v>0</v>
      </c>
      <c r="G52" s="209">
        <f>SUMIFS(gastos!T:T,gastos!M:M,ejec_ICPA!B52,gastos!P:P,ejec_ICPA!A52)</f>
        <v>0</v>
      </c>
      <c r="H52" s="209">
        <f>SUMIFS(gastos!U:U,gastos!M:M,ejec_ICPA!B52,gastos!P:P,ejec_ICPA!A52)</f>
        <v>0</v>
      </c>
      <c r="I52" s="209">
        <f t="shared" ref="I52:I54" si="43">D52+E52-F52+G52-H52</f>
        <v>1000000</v>
      </c>
      <c r="J52" s="209">
        <f>SUMIFS(gastos!W:W,gastos!M:M,ejec_ICPA!B52,gastos!P:P,ejec_ICPA!A52)</f>
        <v>0</v>
      </c>
      <c r="K52" s="209">
        <f>SUMIFS(gastos!X:X,gastos!$M:$M,ejec_ICPA!B52,gastos!$P:$P,ejec_ICPA!A52)</f>
        <v>0</v>
      </c>
      <c r="L52" s="209">
        <f>SUMIFS(gastos!$Z:$Z,gastos!$M:$M,ejec_ICPA!$B52,gastos!$P:$P,ejec_ICPA!$A52)</f>
        <v>0</v>
      </c>
      <c r="M52" s="209">
        <f>SUMIFS(gastos!$AE:$AE,gastos!$M:$M,ejec_ICPA!$B52,gastos!$P:$P,ejec_ICPA!$A52)</f>
        <v>0</v>
      </c>
      <c r="N52" s="209">
        <f>SUMIFS(gastos!AG:AG,gastos!$M:$M,ejec_ICPA!B52,gastos!$P:$P,ejec_ICPA!A52)</f>
        <v>0</v>
      </c>
      <c r="O52" s="209">
        <f>SUMIFS(gastos!AH:AH,gastos!$M:$M,ejec_ICPA!$B52,gastos!$P:$P,ejec_ICPA!$A52)</f>
        <v>0</v>
      </c>
      <c r="P52" s="209">
        <f>SUMIFS(gastos!$AF:$AF,gastos!$M:$M,ejec_ICPA!$B52,gastos!$P:$P,ejec_ICPA!$A52)</f>
        <v>0</v>
      </c>
      <c r="Q52" s="209">
        <f>SUMIFS(gastos!AJ:AJ,gastos!$M:$M,ejec_ICPA!$B52,gastos!$P:$P,ejec_ICPA!$A52)</f>
        <v>0</v>
      </c>
      <c r="R52" s="209">
        <f t="shared" ref="R52:R54" si="44">K52-L52</f>
        <v>0</v>
      </c>
      <c r="S52" s="209">
        <f t="shared" ref="S52:S54" si="45">L52-J52</f>
        <v>0</v>
      </c>
      <c r="T52" s="209">
        <f t="shared" ref="T52:T54" si="46">J52-M52</f>
        <v>0</v>
      </c>
    </row>
    <row r="53" spans="1:24" x14ac:dyDescent="0.3">
      <c r="A53" s="111" t="s">
        <v>586</v>
      </c>
      <c r="B53" s="111" t="s">
        <v>585</v>
      </c>
      <c r="C53" s="215">
        <v>1000000</v>
      </c>
      <c r="D53" s="209">
        <f>SUMIFS(gastos!Q:Q,gastos!M:M,ejec_ICPA!B53,gastos!P:P,ejec_ICPA!A53)</f>
        <v>1000000</v>
      </c>
      <c r="E53" s="209">
        <f>SUMIFS(gastos!R:R,gastos!M:M,ejec_ICPA!B53,gastos!P:P,ejec_ICPA!A53)</f>
        <v>0</v>
      </c>
      <c r="F53" s="209">
        <f>SUMIFS(gastos!S:S,gastos!M:M,ejec_ICPA!B53,gastos!P:P,ejec_ICPA!A53)</f>
        <v>0</v>
      </c>
      <c r="G53" s="209">
        <f>SUMIFS(gastos!T:T,gastos!M:M,ejec_ICPA!B53,gastos!P:P,ejec_ICPA!A53)</f>
        <v>0</v>
      </c>
      <c r="H53" s="209">
        <f>SUMIFS(gastos!U:U,gastos!M:M,ejec_ICPA!B53,gastos!P:P,ejec_ICPA!A53)</f>
        <v>0</v>
      </c>
      <c r="I53" s="209">
        <f t="shared" si="43"/>
        <v>1000000</v>
      </c>
      <c r="J53" s="209">
        <f>SUMIFS(gastos!W:W,gastos!M:M,ejec_ICPA!B53,gastos!P:P,ejec_ICPA!A53)</f>
        <v>478000</v>
      </c>
      <c r="K53" s="209">
        <f>SUMIFS(gastos!X:X,gastos!$M:$M,ejec_ICPA!B53,gastos!$P:$P,ejec_ICPA!A53)</f>
        <v>478000</v>
      </c>
      <c r="L53" s="209">
        <f>SUMIFS(gastos!$Z:$Z,gastos!$M:$M,ejec_ICPA!$B53,gastos!$P:$P,ejec_ICPA!$A53)</f>
        <v>478000</v>
      </c>
      <c r="M53" s="209">
        <f>SUMIFS(gastos!$AE:$AE,gastos!$M:$M,ejec_ICPA!$B53,gastos!$P:$P,ejec_ICPA!$A53)</f>
        <v>478000</v>
      </c>
      <c r="N53" s="209">
        <f>SUMIFS(gastos!AG:AG,gastos!$M:$M,ejec_ICPA!B53,gastos!$P:$P,ejec_ICPA!A53)</f>
        <v>0</v>
      </c>
      <c r="O53" s="209">
        <f>SUMIFS(gastos!AH:AH,gastos!$M:$M,ejec_ICPA!$B53,gastos!$P:$P,ejec_ICPA!$A53)</f>
        <v>0</v>
      </c>
      <c r="P53" s="209">
        <f>SUMIFS(gastos!$AF:$AF,gastos!$M:$M,ejec_ICPA!$B53,gastos!$P:$P,ejec_ICPA!$A53)</f>
        <v>0</v>
      </c>
      <c r="Q53" s="209">
        <f>SUMIFS(gastos!AJ:AJ,gastos!$M:$M,ejec_ICPA!$B53,gastos!$P:$P,ejec_ICPA!$A53)</f>
        <v>0</v>
      </c>
      <c r="R53" s="209">
        <f t="shared" si="44"/>
        <v>0</v>
      </c>
      <c r="S53" s="209">
        <f t="shared" si="45"/>
        <v>0</v>
      </c>
      <c r="T53" s="209">
        <f t="shared" si="46"/>
        <v>0</v>
      </c>
    </row>
    <row r="54" spans="1:24" x14ac:dyDescent="0.3">
      <c r="A54" s="111" t="s">
        <v>588</v>
      </c>
      <c r="B54" s="111" t="s">
        <v>587</v>
      </c>
      <c r="C54" s="215">
        <v>1200000</v>
      </c>
      <c r="D54" s="209">
        <f>SUMIFS(gastos!Q:Q,gastos!M:M,ejec_ICPA!B54,gastos!P:P,ejec_ICPA!A54)</f>
        <v>1200000</v>
      </c>
      <c r="E54" s="209">
        <f>SUMIFS(gastos!R:R,gastos!M:M,ejec_ICPA!B54,gastos!P:P,ejec_ICPA!A54)</f>
        <v>0</v>
      </c>
      <c r="F54" s="209">
        <f>SUMIFS(gastos!S:S,gastos!M:M,ejec_ICPA!B54,gastos!P:P,ejec_ICPA!A54)</f>
        <v>0</v>
      </c>
      <c r="G54" s="209">
        <f>SUMIFS(gastos!T:T,gastos!M:M,ejec_ICPA!B54,gastos!P:P,ejec_ICPA!A54)</f>
        <v>0</v>
      </c>
      <c r="H54" s="209">
        <f>SUMIFS(gastos!U:U,gastos!M:M,ejec_ICPA!B54,gastos!P:P,ejec_ICPA!A54)</f>
        <v>0</v>
      </c>
      <c r="I54" s="209">
        <f t="shared" si="43"/>
        <v>1200000</v>
      </c>
      <c r="J54" s="209">
        <f>SUMIFS(gastos!W:W,gastos!M:M,ejec_ICPA!B54,gastos!P:P,ejec_ICPA!A54)</f>
        <v>0</v>
      </c>
      <c r="K54" s="209">
        <f>SUMIFS(gastos!X:X,gastos!$M:$M,ejec_ICPA!B54,gastos!$P:$P,ejec_ICPA!A54)</f>
        <v>0</v>
      </c>
      <c r="L54" s="209">
        <f>SUMIFS(gastos!$Z:$Z,gastos!$M:$M,ejec_ICPA!$B54,gastos!$P:$P,ejec_ICPA!$A54)</f>
        <v>0</v>
      </c>
      <c r="M54" s="209">
        <f>SUMIFS(gastos!$AE:$AE,gastos!$M:$M,ejec_ICPA!$B54,gastos!$P:$P,ejec_ICPA!$A54)</f>
        <v>0</v>
      </c>
      <c r="N54" s="209">
        <f>SUMIFS(gastos!AG:AG,gastos!$M:$M,ejec_ICPA!B54,gastos!$P:$P,ejec_ICPA!A54)</f>
        <v>0</v>
      </c>
      <c r="O54" s="209">
        <f>SUMIFS(gastos!AH:AH,gastos!$M:$M,ejec_ICPA!$B54,gastos!$P:$P,ejec_ICPA!$A54)</f>
        <v>0</v>
      </c>
      <c r="P54" s="209">
        <f>SUMIFS(gastos!$AF:$AF,gastos!$M:$M,ejec_ICPA!$B54,gastos!$P:$P,ejec_ICPA!$A54)</f>
        <v>0</v>
      </c>
      <c r="Q54" s="209">
        <f>SUMIFS(gastos!AJ:AJ,gastos!$M:$M,ejec_ICPA!$B54,gastos!$P:$P,ejec_ICPA!$A54)</f>
        <v>0</v>
      </c>
      <c r="R54" s="209">
        <f t="shared" si="44"/>
        <v>0</v>
      </c>
      <c r="S54" s="209">
        <f t="shared" si="45"/>
        <v>0</v>
      </c>
      <c r="T54" s="209">
        <f t="shared" si="46"/>
        <v>0</v>
      </c>
    </row>
    <row r="55" spans="1:24" s="105" customFormat="1" x14ac:dyDescent="0.3">
      <c r="A55" s="113" t="s">
        <v>668</v>
      </c>
      <c r="B55" s="113" t="s">
        <v>624</v>
      </c>
      <c r="C55" s="216">
        <f>C56</f>
        <v>45000000</v>
      </c>
      <c r="D55" s="216">
        <f t="shared" ref="D55:T55" si="47">D56</f>
        <v>45000000</v>
      </c>
      <c r="E55" s="216">
        <f t="shared" si="47"/>
        <v>0</v>
      </c>
      <c r="F55" s="216">
        <f t="shared" si="47"/>
        <v>0</v>
      </c>
      <c r="G55" s="216">
        <f t="shared" si="47"/>
        <v>0</v>
      </c>
      <c r="H55" s="216">
        <f t="shared" si="47"/>
        <v>0</v>
      </c>
      <c r="I55" s="216">
        <f t="shared" si="47"/>
        <v>45000000</v>
      </c>
      <c r="J55" s="216">
        <f t="shared" si="47"/>
        <v>25000000</v>
      </c>
      <c r="K55" s="216">
        <f t="shared" si="47"/>
        <v>25000000</v>
      </c>
      <c r="L55" s="216">
        <f t="shared" si="47"/>
        <v>25000000</v>
      </c>
      <c r="M55" s="216">
        <f t="shared" si="47"/>
        <v>10142487</v>
      </c>
      <c r="N55" s="216">
        <f t="shared" si="47"/>
        <v>14857513</v>
      </c>
      <c r="O55" s="216">
        <f t="shared" si="47"/>
        <v>14857513</v>
      </c>
      <c r="P55" s="216">
        <f t="shared" si="47"/>
        <v>14857513</v>
      </c>
      <c r="Q55" s="216">
        <f t="shared" si="47"/>
        <v>4616758</v>
      </c>
      <c r="R55" s="216">
        <f t="shared" si="47"/>
        <v>0</v>
      </c>
      <c r="S55" s="216">
        <f t="shared" si="47"/>
        <v>0</v>
      </c>
      <c r="T55" s="216">
        <f t="shared" si="47"/>
        <v>14857513</v>
      </c>
      <c r="U55" s="208"/>
      <c r="V55" s="208"/>
      <c r="W55" s="208"/>
      <c r="X55" s="208"/>
    </row>
    <row r="56" spans="1:24" s="105" customFormat="1" x14ac:dyDescent="0.3">
      <c r="A56" s="113" t="s">
        <v>669</v>
      </c>
      <c r="B56" s="113" t="s">
        <v>625</v>
      </c>
      <c r="C56" s="216">
        <f>SUM(C57:C58)</f>
        <v>45000000</v>
      </c>
      <c r="D56" s="216">
        <f t="shared" ref="D56:T56" si="48">SUM(D57:D58)</f>
        <v>45000000</v>
      </c>
      <c r="E56" s="216">
        <f t="shared" si="48"/>
        <v>0</v>
      </c>
      <c r="F56" s="216">
        <f t="shared" si="48"/>
        <v>0</v>
      </c>
      <c r="G56" s="216">
        <f t="shared" si="48"/>
        <v>0</v>
      </c>
      <c r="H56" s="216">
        <f t="shared" si="48"/>
        <v>0</v>
      </c>
      <c r="I56" s="216">
        <f t="shared" si="48"/>
        <v>45000000</v>
      </c>
      <c r="J56" s="216">
        <f t="shared" si="48"/>
        <v>25000000</v>
      </c>
      <c r="K56" s="216">
        <f t="shared" si="48"/>
        <v>25000000</v>
      </c>
      <c r="L56" s="216">
        <f t="shared" si="48"/>
        <v>25000000</v>
      </c>
      <c r="M56" s="216">
        <f t="shared" si="48"/>
        <v>10142487</v>
      </c>
      <c r="N56" s="216">
        <f t="shared" si="48"/>
        <v>14857513</v>
      </c>
      <c r="O56" s="216">
        <f t="shared" si="48"/>
        <v>14857513</v>
      </c>
      <c r="P56" s="216">
        <f t="shared" si="48"/>
        <v>14857513</v>
      </c>
      <c r="Q56" s="216">
        <f t="shared" si="48"/>
        <v>4616758</v>
      </c>
      <c r="R56" s="216">
        <f t="shared" si="48"/>
        <v>0</v>
      </c>
      <c r="S56" s="216">
        <f t="shared" si="48"/>
        <v>0</v>
      </c>
      <c r="T56" s="216">
        <f t="shared" si="48"/>
        <v>14857513</v>
      </c>
      <c r="U56" s="208"/>
      <c r="V56" s="208"/>
      <c r="W56" s="208"/>
      <c r="X56" s="208"/>
    </row>
    <row r="57" spans="1:24" x14ac:dyDescent="0.3">
      <c r="A57" s="111" t="s">
        <v>590</v>
      </c>
      <c r="B57" s="111" t="s">
        <v>589</v>
      </c>
      <c r="C57" s="215">
        <f>45000000-20000000</f>
        <v>25000000</v>
      </c>
      <c r="D57" s="209">
        <f>SUMIFS(gastos!Q:Q,gastos!M:M,ejec_ICPA!B57,gastos!P:P,ejec_ICPA!A57)</f>
        <v>25000000</v>
      </c>
      <c r="E57" s="209">
        <f>SUMIFS(gastos!R:R,gastos!M:M,ejec_ICPA!B57,gastos!P:P,ejec_ICPA!A57)</f>
        <v>0</v>
      </c>
      <c r="F57" s="209">
        <f>SUMIFS(gastos!S:S,gastos!M:M,ejec_ICPA!B57,gastos!P:P,ejec_ICPA!A57)</f>
        <v>0</v>
      </c>
      <c r="G57" s="209">
        <f>SUMIFS(gastos!T:T,gastos!M:M,ejec_ICPA!B57,gastos!P:P,ejec_ICPA!A57)</f>
        <v>0</v>
      </c>
      <c r="H57" s="209">
        <f>SUMIFS(gastos!U:U,gastos!M:M,ejec_ICPA!B57,gastos!P:P,ejec_ICPA!A57)</f>
        <v>0</v>
      </c>
      <c r="I57" s="209">
        <f t="shared" ref="I57:I58" si="49">D57+E57-F57+G57-H57</f>
        <v>25000000</v>
      </c>
      <c r="J57" s="209">
        <f>SUMIFS(gastos!W:W,gastos!M:M,ejec_ICPA!B57,gastos!P:P,ejec_ICPA!A57)</f>
        <v>25000000</v>
      </c>
      <c r="K57" s="209">
        <f>SUMIFS(gastos!X:X,gastos!$M:$M,ejec_ICPA!B57,gastos!$P:$P,ejec_ICPA!A57)</f>
        <v>25000000</v>
      </c>
      <c r="L57" s="209">
        <f>SUMIFS(gastos!$Z:$Z,gastos!$M:$M,ejec_ICPA!$B57,gastos!$P:$P,ejec_ICPA!$A57)</f>
        <v>25000000</v>
      </c>
      <c r="M57" s="209">
        <f>SUMIFS(gastos!$AE:$AE,gastos!$M:$M,ejec_ICPA!$B57,gastos!$P:$P,ejec_ICPA!$A57)</f>
        <v>10142487</v>
      </c>
      <c r="N57" s="209">
        <f>SUMIFS(gastos!AG:AG,gastos!$M:$M,ejec_ICPA!B57,gastos!$P:$P,ejec_ICPA!A57)</f>
        <v>14857513</v>
      </c>
      <c r="O57" s="209">
        <f>SUMIFS(gastos!AH:AH,gastos!$M:$M,ejec_ICPA!$B57,gastos!$P:$P,ejec_ICPA!$A57)</f>
        <v>14857513</v>
      </c>
      <c r="P57" s="209">
        <f>SUMIFS(gastos!$AF:$AF,gastos!$M:$M,ejec_ICPA!$B57,gastos!$P:$P,ejec_ICPA!$A57)</f>
        <v>14857513</v>
      </c>
      <c r="Q57" s="209">
        <f>SUMIFS(gastos!AJ:AJ,gastos!$M:$M,ejec_ICPA!$B57,gastos!$P:$P,ejec_ICPA!$A57)</f>
        <v>4616758</v>
      </c>
      <c r="R57" s="209">
        <f t="shared" ref="R57:R58" si="50">K57-L57</f>
        <v>0</v>
      </c>
      <c r="S57" s="209">
        <f t="shared" ref="S57:S58" si="51">L57-J57</f>
        <v>0</v>
      </c>
      <c r="T57" s="209">
        <f t="shared" ref="T57:T58" si="52">J57-M57</f>
        <v>14857513</v>
      </c>
    </row>
    <row r="58" spans="1:24" x14ac:dyDescent="0.3">
      <c r="A58" s="111" t="s">
        <v>592</v>
      </c>
      <c r="B58" s="111" t="s">
        <v>591</v>
      </c>
      <c r="C58" s="215">
        <v>20000000</v>
      </c>
      <c r="D58" s="209">
        <f>SUMIFS(gastos!Q:Q,gastos!M:M,ejec_ICPA!B58,gastos!P:P,ejec_ICPA!A58)</f>
        <v>20000000</v>
      </c>
      <c r="E58" s="209">
        <f>SUMIFS(gastos!R:R,gastos!M:M,ejec_ICPA!B58,gastos!P:P,ejec_ICPA!A58)</f>
        <v>0</v>
      </c>
      <c r="F58" s="209">
        <f>SUMIFS(gastos!S:S,gastos!M:M,ejec_ICPA!B58,gastos!P:P,ejec_ICPA!A58)</f>
        <v>0</v>
      </c>
      <c r="G58" s="209">
        <f>SUMIFS(gastos!T:T,gastos!M:M,ejec_ICPA!B58,gastos!P:P,ejec_ICPA!A58)</f>
        <v>0</v>
      </c>
      <c r="H58" s="209">
        <f>SUMIFS(gastos!U:U,gastos!M:M,ejec_ICPA!B58,gastos!P:P,ejec_ICPA!A58)</f>
        <v>0</v>
      </c>
      <c r="I58" s="209">
        <f t="shared" si="49"/>
        <v>20000000</v>
      </c>
      <c r="J58" s="209">
        <f>SUMIFS(gastos!W:W,gastos!M:M,ejec_ICPA!B58,gastos!P:P,ejec_ICPA!A58)</f>
        <v>0</v>
      </c>
      <c r="K58" s="209">
        <f>SUMIFS(gastos!X:X,gastos!$M:$M,ejec_ICPA!B58,gastos!$P:$P,ejec_ICPA!A58)</f>
        <v>0</v>
      </c>
      <c r="L58" s="209">
        <f>SUMIFS(gastos!$Z:$Z,gastos!$M:$M,ejec_ICPA!$B58,gastos!$P:$P,ejec_ICPA!$A58)</f>
        <v>0</v>
      </c>
      <c r="M58" s="209">
        <f>SUMIFS(gastos!$AE:$AE,gastos!$M:$M,ejec_ICPA!$B58,gastos!$P:$P,ejec_ICPA!$A58)</f>
        <v>0</v>
      </c>
      <c r="N58" s="209">
        <f>SUMIFS(gastos!AG:AG,gastos!$M:$M,ejec_ICPA!B58,gastos!$P:$P,ejec_ICPA!A58)</f>
        <v>0</v>
      </c>
      <c r="O58" s="209">
        <f>SUMIFS(gastos!AH:AH,gastos!$M:$M,ejec_ICPA!$B58,gastos!$P:$P,ejec_ICPA!$A58)</f>
        <v>0</v>
      </c>
      <c r="P58" s="209">
        <f>SUMIFS(gastos!$AF:$AF,gastos!$M:$M,ejec_ICPA!$B58,gastos!$P:$P,ejec_ICPA!$A58)</f>
        <v>0</v>
      </c>
      <c r="Q58" s="209">
        <f>SUMIFS(gastos!AJ:AJ,gastos!$M:$M,ejec_ICPA!$B58,gastos!$P:$P,ejec_ICPA!$A58)</f>
        <v>0</v>
      </c>
      <c r="R58" s="209">
        <f t="shared" si="50"/>
        <v>0</v>
      </c>
      <c r="S58" s="209">
        <f t="shared" si="51"/>
        <v>0</v>
      </c>
      <c r="T58" s="209">
        <f t="shared" si="52"/>
        <v>0</v>
      </c>
    </row>
    <row r="59" spans="1:24" s="105" customFormat="1" x14ac:dyDescent="0.3">
      <c r="A59" s="113" t="s">
        <v>670</v>
      </c>
      <c r="B59" s="113" t="s">
        <v>626</v>
      </c>
      <c r="C59" s="216">
        <f>C60+C62</f>
        <v>32060000</v>
      </c>
      <c r="D59" s="216">
        <f t="shared" ref="D59:T59" si="53">D60+D62</f>
        <v>32060000</v>
      </c>
      <c r="E59" s="216">
        <f t="shared" si="53"/>
        <v>0</v>
      </c>
      <c r="F59" s="216">
        <f t="shared" si="53"/>
        <v>0</v>
      </c>
      <c r="G59" s="216">
        <f t="shared" si="53"/>
        <v>0</v>
      </c>
      <c r="H59" s="216">
        <f t="shared" si="53"/>
        <v>0</v>
      </c>
      <c r="I59" s="216">
        <f t="shared" si="53"/>
        <v>32060000</v>
      </c>
      <c r="J59" s="216">
        <f t="shared" si="53"/>
        <v>27992715</v>
      </c>
      <c r="K59" s="216">
        <f t="shared" si="53"/>
        <v>27992715</v>
      </c>
      <c r="L59" s="216">
        <f t="shared" si="53"/>
        <v>27992715</v>
      </c>
      <c r="M59" s="216">
        <f t="shared" si="53"/>
        <v>27992715</v>
      </c>
      <c r="N59" s="216">
        <f t="shared" si="53"/>
        <v>0</v>
      </c>
      <c r="O59" s="216">
        <f t="shared" si="53"/>
        <v>0</v>
      </c>
      <c r="P59" s="216">
        <f t="shared" si="53"/>
        <v>0</v>
      </c>
      <c r="Q59" s="216">
        <f t="shared" si="53"/>
        <v>0</v>
      </c>
      <c r="R59" s="216">
        <f t="shared" si="53"/>
        <v>0</v>
      </c>
      <c r="S59" s="216">
        <f t="shared" si="53"/>
        <v>0</v>
      </c>
      <c r="T59" s="216">
        <f t="shared" si="53"/>
        <v>0</v>
      </c>
      <c r="U59" s="208"/>
      <c r="V59" s="208"/>
      <c r="W59" s="208"/>
      <c r="X59" s="208"/>
    </row>
    <row r="60" spans="1:24" s="105" customFormat="1" x14ac:dyDescent="0.3">
      <c r="A60" s="113" t="s">
        <v>671</v>
      </c>
      <c r="B60" s="113" t="s">
        <v>627</v>
      </c>
      <c r="C60" s="216">
        <f>SUM(C61)</f>
        <v>30000000</v>
      </c>
      <c r="D60" s="216">
        <f t="shared" ref="D60:T60" si="54">SUM(D61)</f>
        <v>30000000</v>
      </c>
      <c r="E60" s="216">
        <f t="shared" si="54"/>
        <v>0</v>
      </c>
      <c r="F60" s="216">
        <f t="shared" si="54"/>
        <v>0</v>
      </c>
      <c r="G60" s="216">
        <f t="shared" si="54"/>
        <v>0</v>
      </c>
      <c r="H60" s="216">
        <f t="shared" si="54"/>
        <v>0</v>
      </c>
      <c r="I60" s="216">
        <f t="shared" si="54"/>
        <v>30000000</v>
      </c>
      <c r="J60" s="216">
        <f t="shared" si="54"/>
        <v>27992715</v>
      </c>
      <c r="K60" s="216">
        <f t="shared" si="54"/>
        <v>27992715</v>
      </c>
      <c r="L60" s="216">
        <f t="shared" si="54"/>
        <v>27992715</v>
      </c>
      <c r="M60" s="216">
        <f t="shared" si="54"/>
        <v>27992715</v>
      </c>
      <c r="N60" s="216">
        <f t="shared" si="54"/>
        <v>0</v>
      </c>
      <c r="O60" s="216">
        <f t="shared" si="54"/>
        <v>0</v>
      </c>
      <c r="P60" s="216">
        <f t="shared" si="54"/>
        <v>0</v>
      </c>
      <c r="Q60" s="216">
        <f t="shared" si="54"/>
        <v>0</v>
      </c>
      <c r="R60" s="216">
        <f t="shared" si="54"/>
        <v>0</v>
      </c>
      <c r="S60" s="216">
        <f t="shared" si="54"/>
        <v>0</v>
      </c>
      <c r="T60" s="216">
        <f t="shared" si="54"/>
        <v>0</v>
      </c>
      <c r="U60" s="208"/>
      <c r="V60" s="208"/>
      <c r="W60" s="208"/>
      <c r="X60" s="208"/>
    </row>
    <row r="61" spans="1:24" x14ac:dyDescent="0.3">
      <c r="A61" s="111" t="s">
        <v>594</v>
      </c>
      <c r="B61" s="111" t="s">
        <v>593</v>
      </c>
      <c r="C61" s="215">
        <v>30000000</v>
      </c>
      <c r="D61" s="209">
        <f>SUMIFS(gastos!Q:Q,gastos!M:M,ejec_ICPA!B61,gastos!P:P,ejec_ICPA!A61)</f>
        <v>30000000</v>
      </c>
      <c r="E61" s="209">
        <f>SUMIFS(gastos!R:R,gastos!M:M,ejec_ICPA!B61,gastos!P:P,ejec_ICPA!A61)</f>
        <v>0</v>
      </c>
      <c r="F61" s="209">
        <f>SUMIFS(gastos!S:S,gastos!M:M,ejec_ICPA!B61,gastos!P:P,ejec_ICPA!A61)</f>
        <v>0</v>
      </c>
      <c r="G61" s="209">
        <f>SUMIFS(gastos!T:T,gastos!M:M,ejec_ICPA!B61,gastos!P:P,ejec_ICPA!A61)</f>
        <v>0</v>
      </c>
      <c r="H61" s="209">
        <f>SUMIFS(gastos!U:U,gastos!M:M,ejec_ICPA!B61,gastos!P:P,ejec_ICPA!A61)</f>
        <v>0</v>
      </c>
      <c r="I61" s="209">
        <f>D61+E61-F61+G61-H61</f>
        <v>30000000</v>
      </c>
      <c r="J61" s="209">
        <f>SUMIFS(gastos!W:W,gastos!M:M,ejec_ICPA!B61,gastos!P:P,ejec_ICPA!A61)</f>
        <v>27992715</v>
      </c>
      <c r="K61" s="209">
        <f>SUMIFS(gastos!X:X,gastos!$M:$M,ejec_ICPA!B61,gastos!$P:$P,ejec_ICPA!A61)</f>
        <v>27992715</v>
      </c>
      <c r="L61" s="209">
        <f>SUMIFS(gastos!$Z:$Z,gastos!$M:$M,ejec_ICPA!$B61,gastos!$P:$P,ejec_ICPA!$A61)</f>
        <v>27992715</v>
      </c>
      <c r="M61" s="209">
        <f>SUMIFS(gastos!$AE:$AE,gastos!$M:$M,ejec_ICPA!$B61,gastos!$P:$P,ejec_ICPA!$A61)</f>
        <v>27992715</v>
      </c>
      <c r="N61" s="209">
        <f>SUMIFS(gastos!AG:AG,gastos!$M:$M,ejec_ICPA!B61,gastos!$P:$P,ejec_ICPA!A61)</f>
        <v>0</v>
      </c>
      <c r="O61" s="209">
        <f>SUMIFS(gastos!AH:AH,gastos!$M:$M,ejec_ICPA!$B61,gastos!$P:$P,ejec_ICPA!$A61)</f>
        <v>0</v>
      </c>
      <c r="P61" s="209">
        <f>SUMIFS(gastos!$AF:$AF,gastos!$M:$M,ejec_ICPA!$B61,gastos!$P:$P,ejec_ICPA!$A61)</f>
        <v>0</v>
      </c>
      <c r="Q61" s="209">
        <f>SUMIFS(gastos!AJ:AJ,gastos!$M:$M,ejec_ICPA!$B61,gastos!$P:$P,ejec_ICPA!$A61)</f>
        <v>0</v>
      </c>
      <c r="R61" s="209">
        <f>K61-L61</f>
        <v>0</v>
      </c>
      <c r="S61" s="209">
        <f>L61-J61</f>
        <v>0</v>
      </c>
      <c r="T61" s="209">
        <f>J61-M61</f>
        <v>0</v>
      </c>
    </row>
    <row r="62" spans="1:24" s="105" customFormat="1" x14ac:dyDescent="0.3">
      <c r="A62" s="113" t="s">
        <v>672</v>
      </c>
      <c r="B62" s="113" t="s">
        <v>628</v>
      </c>
      <c r="C62" s="216">
        <f>C63+C65</f>
        <v>2060000</v>
      </c>
      <c r="D62" s="216">
        <f t="shared" ref="D62:T62" si="55">D63+D65</f>
        <v>2060000</v>
      </c>
      <c r="E62" s="216">
        <f t="shared" si="55"/>
        <v>0</v>
      </c>
      <c r="F62" s="216">
        <f t="shared" si="55"/>
        <v>0</v>
      </c>
      <c r="G62" s="216">
        <f t="shared" si="55"/>
        <v>0</v>
      </c>
      <c r="H62" s="216">
        <f t="shared" si="55"/>
        <v>0</v>
      </c>
      <c r="I62" s="216">
        <f t="shared" si="55"/>
        <v>2060000</v>
      </c>
      <c r="J62" s="216">
        <f t="shared" si="55"/>
        <v>0</v>
      </c>
      <c r="K62" s="216">
        <f t="shared" si="55"/>
        <v>0</v>
      </c>
      <c r="L62" s="216">
        <f t="shared" si="55"/>
        <v>0</v>
      </c>
      <c r="M62" s="216">
        <f t="shared" si="55"/>
        <v>0</v>
      </c>
      <c r="N62" s="216">
        <f t="shared" si="55"/>
        <v>0</v>
      </c>
      <c r="O62" s="216">
        <f t="shared" si="55"/>
        <v>0</v>
      </c>
      <c r="P62" s="216">
        <f t="shared" si="55"/>
        <v>0</v>
      </c>
      <c r="Q62" s="216">
        <f t="shared" si="55"/>
        <v>0</v>
      </c>
      <c r="R62" s="216">
        <f t="shared" si="55"/>
        <v>0</v>
      </c>
      <c r="S62" s="216">
        <f t="shared" si="55"/>
        <v>0</v>
      </c>
      <c r="T62" s="216">
        <f t="shared" si="55"/>
        <v>0</v>
      </c>
      <c r="U62" s="208"/>
      <c r="V62" s="208"/>
      <c r="W62" s="208"/>
      <c r="X62" s="208"/>
    </row>
    <row r="63" spans="1:24" s="105" customFormat="1" x14ac:dyDescent="0.3">
      <c r="A63" s="113" t="s">
        <v>673</v>
      </c>
      <c r="B63" s="113" t="s">
        <v>629</v>
      </c>
      <c r="C63" s="216">
        <f>SUM(C64)</f>
        <v>1860000</v>
      </c>
      <c r="D63" s="216">
        <f t="shared" ref="D63:T63" si="56">SUM(D64)</f>
        <v>1860000</v>
      </c>
      <c r="E63" s="216">
        <f t="shared" si="56"/>
        <v>0</v>
      </c>
      <c r="F63" s="216">
        <f t="shared" si="56"/>
        <v>0</v>
      </c>
      <c r="G63" s="216">
        <f t="shared" si="56"/>
        <v>0</v>
      </c>
      <c r="H63" s="216">
        <f t="shared" si="56"/>
        <v>0</v>
      </c>
      <c r="I63" s="216">
        <f t="shared" si="56"/>
        <v>1860000</v>
      </c>
      <c r="J63" s="216">
        <f t="shared" si="56"/>
        <v>0</v>
      </c>
      <c r="K63" s="216">
        <f t="shared" si="56"/>
        <v>0</v>
      </c>
      <c r="L63" s="216">
        <f t="shared" si="56"/>
        <v>0</v>
      </c>
      <c r="M63" s="216">
        <f t="shared" si="56"/>
        <v>0</v>
      </c>
      <c r="N63" s="216">
        <f t="shared" si="56"/>
        <v>0</v>
      </c>
      <c r="O63" s="216">
        <f t="shared" si="56"/>
        <v>0</v>
      </c>
      <c r="P63" s="216">
        <f t="shared" si="56"/>
        <v>0</v>
      </c>
      <c r="Q63" s="216">
        <f t="shared" si="56"/>
        <v>0</v>
      </c>
      <c r="R63" s="216">
        <f t="shared" si="56"/>
        <v>0</v>
      </c>
      <c r="S63" s="216">
        <f t="shared" si="56"/>
        <v>0</v>
      </c>
      <c r="T63" s="216">
        <f t="shared" si="56"/>
        <v>0</v>
      </c>
      <c r="U63" s="208"/>
      <c r="V63" s="208"/>
      <c r="W63" s="208"/>
      <c r="X63" s="208"/>
    </row>
    <row r="64" spans="1:24" x14ac:dyDescent="0.3">
      <c r="A64" s="111" t="s">
        <v>596</v>
      </c>
      <c r="B64" s="111" t="s">
        <v>595</v>
      </c>
      <c r="C64" s="215">
        <f>2060000-200000</f>
        <v>1860000</v>
      </c>
      <c r="D64" s="209">
        <f>SUMIFS(gastos!Q:Q,gastos!M:M,ejec_ICPA!B64,gastos!P:P,ejec_ICPA!A64)</f>
        <v>1860000</v>
      </c>
      <c r="E64" s="209">
        <f>SUMIFS(gastos!R:R,gastos!M:M,ejec_ICPA!B64,gastos!P:P,ejec_ICPA!A64)</f>
        <v>0</v>
      </c>
      <c r="F64" s="209">
        <f>SUMIFS(gastos!S:S,gastos!M:M,ejec_ICPA!B64,gastos!P:P,ejec_ICPA!A64)</f>
        <v>0</v>
      </c>
      <c r="G64" s="209">
        <f>SUMIFS(gastos!T:T,gastos!M:M,ejec_ICPA!B64,gastos!P:P,ejec_ICPA!A64)</f>
        <v>0</v>
      </c>
      <c r="H64" s="209">
        <f>SUMIFS(gastos!U:U,gastos!M:M,ejec_ICPA!B64,gastos!P:P,ejec_ICPA!A64)</f>
        <v>0</v>
      </c>
      <c r="I64" s="209">
        <f t="shared" ref="I64:I65" si="57">D64+E64-F64+G64-H64</f>
        <v>1860000</v>
      </c>
      <c r="J64" s="209">
        <f>SUMIFS(gastos!W:W,gastos!M:M,ejec_ICPA!B64,gastos!P:P,ejec_ICPA!A64)</f>
        <v>0</v>
      </c>
      <c r="K64" s="209">
        <f>SUMIFS(gastos!X:X,gastos!$M:$M,ejec_ICPA!B64,gastos!$P:$P,ejec_ICPA!A64)</f>
        <v>0</v>
      </c>
      <c r="L64" s="209">
        <f>SUMIFS(gastos!$Z:$Z,gastos!$M:$M,ejec_ICPA!$B64,gastos!$P:$P,ejec_ICPA!$A64)</f>
        <v>0</v>
      </c>
      <c r="M64" s="209">
        <f>SUMIFS(gastos!$AE:$AE,gastos!$M:$M,ejec_ICPA!$B64,gastos!$P:$P,ejec_ICPA!$A64)</f>
        <v>0</v>
      </c>
      <c r="N64" s="209">
        <f>SUMIFS(gastos!AG:AG,gastos!$M:$M,ejec_ICPA!B64,gastos!$P:$P,ejec_ICPA!A64)</f>
        <v>0</v>
      </c>
      <c r="O64" s="209">
        <f>SUMIFS(gastos!AH:AH,gastos!$M:$M,ejec_ICPA!$B64,gastos!$P:$P,ejec_ICPA!$A64)</f>
        <v>0</v>
      </c>
      <c r="P64" s="209">
        <f>SUMIFS(gastos!$AF:$AF,gastos!$M:$M,ejec_ICPA!$B64,gastos!$P:$P,ejec_ICPA!$A64)</f>
        <v>0</v>
      </c>
      <c r="Q64" s="209">
        <f>SUMIFS(gastos!AJ:AJ,gastos!$M:$M,ejec_ICPA!$B64,gastos!$P:$P,ejec_ICPA!$A64)</f>
        <v>0</v>
      </c>
      <c r="R64" s="209">
        <f t="shared" ref="R64:R65" si="58">K64-L64</f>
        <v>0</v>
      </c>
      <c r="S64" s="209">
        <f t="shared" ref="S64:S65" si="59">L64-J64</f>
        <v>0</v>
      </c>
      <c r="T64" s="209">
        <f t="shared" ref="T64:T65" si="60">J64-M64</f>
        <v>0</v>
      </c>
    </row>
    <row r="65" spans="1:24" x14ac:dyDescent="0.3">
      <c r="A65" s="111" t="s">
        <v>598</v>
      </c>
      <c r="B65" s="111" t="s">
        <v>597</v>
      </c>
      <c r="C65" s="215">
        <v>200000</v>
      </c>
      <c r="D65" s="209">
        <f>SUMIFS(gastos!Q:Q,gastos!M:M,ejec_ICPA!B65,gastos!P:P,ejec_ICPA!A65)</f>
        <v>200000</v>
      </c>
      <c r="E65" s="209">
        <f>SUMIFS(gastos!R:R,gastos!M:M,ejec_ICPA!B65,gastos!P:P,ejec_ICPA!A65)</f>
        <v>0</v>
      </c>
      <c r="F65" s="209">
        <f>SUMIFS(gastos!S:S,gastos!M:M,ejec_ICPA!B65,gastos!P:P,ejec_ICPA!A65)</f>
        <v>0</v>
      </c>
      <c r="G65" s="209">
        <f>SUMIFS(gastos!T:T,gastos!M:M,ejec_ICPA!B65,gastos!P:P,ejec_ICPA!A65)</f>
        <v>0</v>
      </c>
      <c r="H65" s="209">
        <f>SUMIFS(gastos!U:U,gastos!M:M,ejec_ICPA!B65,gastos!P:P,ejec_ICPA!A65)</f>
        <v>0</v>
      </c>
      <c r="I65" s="209">
        <f t="shared" si="57"/>
        <v>200000</v>
      </c>
      <c r="J65" s="209">
        <f>SUMIFS(gastos!W:W,gastos!M:M,ejec_ICPA!B65,gastos!P:P,ejec_ICPA!A65)</f>
        <v>0</v>
      </c>
      <c r="K65" s="209">
        <f>SUMIFS(gastos!X:X,gastos!$M:$M,ejec_ICPA!B65,gastos!$P:$P,ejec_ICPA!A65)</f>
        <v>0</v>
      </c>
      <c r="L65" s="209">
        <f>SUMIFS(gastos!$Z:$Z,gastos!$M:$M,ejec_ICPA!$B65,gastos!$P:$P,ejec_ICPA!$A65)</f>
        <v>0</v>
      </c>
      <c r="M65" s="209">
        <f>SUMIFS(gastos!$AE:$AE,gastos!$M:$M,ejec_ICPA!$B65,gastos!$P:$P,ejec_ICPA!$A65)</f>
        <v>0</v>
      </c>
      <c r="N65" s="209">
        <f>SUMIFS(gastos!AG:AG,gastos!$M:$M,ejec_ICPA!B65,gastos!$P:$P,ejec_ICPA!A65)</f>
        <v>0</v>
      </c>
      <c r="O65" s="209">
        <f>SUMIFS(gastos!AH:AH,gastos!$M:$M,ejec_ICPA!$B65,gastos!$P:$P,ejec_ICPA!$A65)</f>
        <v>0</v>
      </c>
      <c r="P65" s="209">
        <f>SUMIFS(gastos!$AF:$AF,gastos!$M:$M,ejec_ICPA!$B65,gastos!$P:$P,ejec_ICPA!$A65)</f>
        <v>0</v>
      </c>
      <c r="Q65" s="209">
        <f>SUMIFS(gastos!AJ:AJ,gastos!$M:$M,ejec_ICPA!$B65,gastos!$P:$P,ejec_ICPA!$A65)</f>
        <v>0</v>
      </c>
      <c r="R65" s="209">
        <f t="shared" si="58"/>
        <v>0</v>
      </c>
      <c r="S65" s="209">
        <f t="shared" si="59"/>
        <v>0</v>
      </c>
      <c r="T65" s="209">
        <f t="shared" si="60"/>
        <v>0</v>
      </c>
    </row>
    <row r="66" spans="1:24" s="105" customFormat="1" x14ac:dyDescent="0.3">
      <c r="A66" s="113" t="s">
        <v>674</v>
      </c>
      <c r="B66" s="113" t="s">
        <v>630</v>
      </c>
      <c r="C66" s="216">
        <v>0</v>
      </c>
      <c r="D66" s="209">
        <f>SUMIFS(gastos!Q:Q,gastos!M:M,ejec_ICPA!B66,gastos!P:P,ejec_ICPA!A66)</f>
        <v>0</v>
      </c>
      <c r="E66" s="209">
        <f>SUMIFS(gastos!R:R,gastos!M:M,ejec_ICPA!B66,gastos!P:P,ejec_ICPA!A66)</f>
        <v>0</v>
      </c>
      <c r="F66" s="209">
        <f>SUMIFS(gastos!S:S,gastos!M:M,ejec_ICPA!B66,gastos!P:P,ejec_ICPA!A66)</f>
        <v>0</v>
      </c>
      <c r="G66" s="209">
        <f>SUMIFS(gastos!T:T,gastos!M:M,ejec_ICPA!B66,gastos!P:P,ejec_ICPA!A66)</f>
        <v>0</v>
      </c>
      <c r="H66" s="209">
        <f>SUMIFS(gastos!U:U,gastos!M:M,ejec_ICPA!B66,gastos!P:P,ejec_ICPA!A66)</f>
        <v>0</v>
      </c>
      <c r="I66" s="209">
        <f t="shared" ref="I66" si="61">D66+E66-F66+G66-H66</f>
        <v>0</v>
      </c>
      <c r="J66" s="209">
        <f>SUMIFS(gastos!W:W,gastos!M:M,ejec_ICPA!B66,gastos!P:P,ejec_ICPA!A66)</f>
        <v>0</v>
      </c>
      <c r="K66" s="209">
        <f>SUMIFS(gastos!X:X,gastos!$M:$M,ejec_ICPA!B66,gastos!$P:$P,ejec_ICPA!A66)</f>
        <v>0</v>
      </c>
      <c r="L66" s="209">
        <f>SUMIFS(gastos!$Z:$Z,gastos!$M:$M,ejec_ICPA!$B66,gastos!$P:$P,ejec_ICPA!$A66)</f>
        <v>0</v>
      </c>
      <c r="M66" s="209">
        <f>SUMIFS(gastos!$AE:$AE,gastos!$M:$M,ejec_ICPA!$B66,gastos!$P:$P,ejec_ICPA!$A66)</f>
        <v>0</v>
      </c>
      <c r="N66" s="209">
        <f>SUMIFS(gastos!AG:AG,gastos!$M:$M,ejec_ICPA!B66,gastos!$P:$P,ejec_ICPA!A66)</f>
        <v>0</v>
      </c>
      <c r="O66" s="209">
        <f>SUMIFS(gastos!AH:AH,gastos!$M:$M,ejec_ICPA!$B66,gastos!$P:$P,ejec_ICPA!$A66)</f>
        <v>0</v>
      </c>
      <c r="P66" s="209">
        <f>SUMIFS(gastos!$AF:$AF,gastos!$M:$M,ejec_ICPA!$B66,gastos!$P:$P,ejec_ICPA!$A66)</f>
        <v>0</v>
      </c>
      <c r="Q66" s="209">
        <f>SUMIFS(gastos!AJ:AJ,gastos!$M:$M,ejec_ICPA!$B66,gastos!$P:$P,ejec_ICPA!$A66)</f>
        <v>0</v>
      </c>
      <c r="R66" s="209">
        <f t="shared" ref="R66" si="62">K66-L66</f>
        <v>0</v>
      </c>
      <c r="S66" s="209">
        <f t="shared" ref="S66" si="63">L66-J66</f>
        <v>0</v>
      </c>
      <c r="T66" s="209">
        <f t="shared" ref="T66" si="64">J66-M66</f>
        <v>0</v>
      </c>
      <c r="U66" s="208"/>
      <c r="V66" s="208"/>
      <c r="W66" s="208"/>
      <c r="X66" s="208"/>
    </row>
    <row r="67" spans="1:24" s="105" customFormat="1" x14ac:dyDescent="0.3">
      <c r="A67" s="113" t="s">
        <v>675</v>
      </c>
      <c r="B67" s="113" t="s">
        <v>631</v>
      </c>
      <c r="C67" s="216">
        <f>C68</f>
        <v>7215252047</v>
      </c>
      <c r="D67" s="216">
        <f t="shared" ref="D67:T67" si="65">D68</f>
        <v>7215252047</v>
      </c>
      <c r="E67" s="216">
        <f t="shared" si="65"/>
        <v>11119206983</v>
      </c>
      <c r="F67" s="216">
        <f t="shared" si="65"/>
        <v>701874892</v>
      </c>
      <c r="G67" s="216">
        <f t="shared" si="65"/>
        <v>3564904714</v>
      </c>
      <c r="H67" s="216">
        <f t="shared" si="65"/>
        <v>3564904714</v>
      </c>
      <c r="I67" s="216">
        <f t="shared" si="65"/>
        <v>17632584138</v>
      </c>
      <c r="J67" s="216">
        <f t="shared" si="65"/>
        <v>12801767300</v>
      </c>
      <c r="K67" s="216">
        <f t="shared" si="65"/>
        <v>12801767300</v>
      </c>
      <c r="L67" s="216">
        <f t="shared" si="65"/>
        <v>12801767300</v>
      </c>
      <c r="M67" s="216">
        <f t="shared" si="65"/>
        <v>11236314185</v>
      </c>
      <c r="N67" s="216">
        <f t="shared" si="65"/>
        <v>-779017063</v>
      </c>
      <c r="O67" s="216">
        <f t="shared" si="65"/>
        <v>0</v>
      </c>
      <c r="P67" s="216">
        <f t="shared" si="65"/>
        <v>5701431493</v>
      </c>
      <c r="Q67" s="216">
        <f t="shared" si="65"/>
        <v>4131478378</v>
      </c>
      <c r="R67" s="216">
        <f t="shared" si="65"/>
        <v>0</v>
      </c>
      <c r="S67" s="216">
        <f t="shared" si="65"/>
        <v>0</v>
      </c>
      <c r="T67" s="216">
        <f t="shared" si="65"/>
        <v>1565453115</v>
      </c>
      <c r="U67" s="208"/>
      <c r="V67" s="208"/>
      <c r="W67" s="208"/>
      <c r="X67" s="208"/>
    </row>
    <row r="68" spans="1:24" s="105" customFormat="1" x14ac:dyDescent="0.3">
      <c r="A68" s="113" t="s">
        <v>676</v>
      </c>
      <c r="B68" s="113" t="s">
        <v>606</v>
      </c>
      <c r="C68" s="216">
        <f t="shared" ref="C68:T68" si="66">C69+C116</f>
        <v>7215252047</v>
      </c>
      <c r="D68" s="216">
        <f t="shared" si="66"/>
        <v>7215252047</v>
      </c>
      <c r="E68" s="216">
        <f t="shared" si="66"/>
        <v>11119206983</v>
      </c>
      <c r="F68" s="216">
        <f t="shared" si="66"/>
        <v>701874892</v>
      </c>
      <c r="G68" s="216">
        <f t="shared" si="66"/>
        <v>3564904714</v>
      </c>
      <c r="H68" s="216">
        <f t="shared" si="66"/>
        <v>3564904714</v>
      </c>
      <c r="I68" s="216">
        <f t="shared" si="66"/>
        <v>17632584138</v>
      </c>
      <c r="J68" s="216">
        <f t="shared" si="66"/>
        <v>12801767300</v>
      </c>
      <c r="K68" s="216">
        <f t="shared" si="66"/>
        <v>12801767300</v>
      </c>
      <c r="L68" s="216">
        <f t="shared" si="66"/>
        <v>12801767300</v>
      </c>
      <c r="M68" s="216">
        <f t="shared" si="66"/>
        <v>11236314185</v>
      </c>
      <c r="N68" s="216">
        <f t="shared" si="66"/>
        <v>-779017063</v>
      </c>
      <c r="O68" s="216">
        <f t="shared" si="66"/>
        <v>0</v>
      </c>
      <c r="P68" s="216">
        <f t="shared" si="66"/>
        <v>5701431493</v>
      </c>
      <c r="Q68" s="216">
        <f t="shared" si="66"/>
        <v>4131478378</v>
      </c>
      <c r="R68" s="216">
        <f t="shared" si="66"/>
        <v>0</v>
      </c>
      <c r="S68" s="216">
        <f t="shared" si="66"/>
        <v>0</v>
      </c>
      <c r="T68" s="216">
        <f t="shared" si="66"/>
        <v>1565453115</v>
      </c>
      <c r="U68" s="208"/>
      <c r="V68" s="208"/>
      <c r="W68" s="208"/>
      <c r="X68" s="208"/>
    </row>
    <row r="69" spans="1:24" s="105" customFormat="1" x14ac:dyDescent="0.3">
      <c r="A69" s="113" t="s">
        <v>677</v>
      </c>
      <c r="B69" s="113" t="s">
        <v>632</v>
      </c>
      <c r="C69" s="216">
        <f>C70</f>
        <v>515240984</v>
      </c>
      <c r="D69" s="216">
        <f t="shared" ref="D69:T69" si="67">D70</f>
        <v>515240984</v>
      </c>
      <c r="E69" s="216">
        <f t="shared" si="67"/>
        <v>2350864323</v>
      </c>
      <c r="F69" s="216">
        <f t="shared" si="67"/>
        <v>0</v>
      </c>
      <c r="G69" s="216">
        <f t="shared" si="67"/>
        <v>885465311</v>
      </c>
      <c r="H69" s="216">
        <f t="shared" si="67"/>
        <v>1085122947</v>
      </c>
      <c r="I69" s="216">
        <f t="shared" si="67"/>
        <v>2666447671</v>
      </c>
      <c r="J69" s="216">
        <f t="shared" si="67"/>
        <v>1796930700</v>
      </c>
      <c r="K69" s="216">
        <f t="shared" si="67"/>
        <v>1796930700</v>
      </c>
      <c r="L69" s="216">
        <f t="shared" si="67"/>
        <v>1796930700</v>
      </c>
      <c r="M69" s="216">
        <f t="shared" si="67"/>
        <v>1088075068</v>
      </c>
      <c r="N69" s="216">
        <f t="shared" si="67"/>
        <v>-164347681</v>
      </c>
      <c r="O69" s="216">
        <f t="shared" si="67"/>
        <v>0</v>
      </c>
      <c r="P69" s="216">
        <f t="shared" si="67"/>
        <v>1181216273</v>
      </c>
      <c r="Q69" s="216">
        <f t="shared" si="67"/>
        <v>472360641</v>
      </c>
      <c r="R69" s="216">
        <f t="shared" si="67"/>
        <v>0</v>
      </c>
      <c r="S69" s="216">
        <f t="shared" si="67"/>
        <v>0</v>
      </c>
      <c r="T69" s="216">
        <f t="shared" si="67"/>
        <v>708855632</v>
      </c>
      <c r="U69" s="208"/>
      <c r="V69" s="208"/>
      <c r="W69" s="208"/>
      <c r="X69" s="208"/>
    </row>
    <row r="70" spans="1:24" s="105" customFormat="1" x14ac:dyDescent="0.3">
      <c r="A70" s="113" t="s">
        <v>678</v>
      </c>
      <c r="B70" s="113" t="s">
        <v>633</v>
      </c>
      <c r="C70" s="216">
        <f t="shared" ref="C70:T70" si="68">C71+C80+C87+C100</f>
        <v>515240984</v>
      </c>
      <c r="D70" s="216">
        <f t="shared" si="68"/>
        <v>515240984</v>
      </c>
      <c r="E70" s="216">
        <f t="shared" si="68"/>
        <v>2350864323</v>
      </c>
      <c r="F70" s="216">
        <f t="shared" si="68"/>
        <v>0</v>
      </c>
      <c r="G70" s="216">
        <f t="shared" si="68"/>
        <v>885465311</v>
      </c>
      <c r="H70" s="216">
        <f t="shared" si="68"/>
        <v>1085122947</v>
      </c>
      <c r="I70" s="216">
        <f t="shared" si="68"/>
        <v>2666447671</v>
      </c>
      <c r="J70" s="216">
        <f t="shared" si="68"/>
        <v>1796930700</v>
      </c>
      <c r="K70" s="216">
        <f t="shared" si="68"/>
        <v>1796930700</v>
      </c>
      <c r="L70" s="216">
        <f t="shared" si="68"/>
        <v>1796930700</v>
      </c>
      <c r="M70" s="216">
        <f t="shared" si="68"/>
        <v>1088075068</v>
      </c>
      <c r="N70" s="216">
        <f t="shared" si="68"/>
        <v>-164347681</v>
      </c>
      <c r="O70" s="216">
        <f t="shared" si="68"/>
        <v>0</v>
      </c>
      <c r="P70" s="216">
        <f t="shared" si="68"/>
        <v>1181216273</v>
      </c>
      <c r="Q70" s="216">
        <f t="shared" si="68"/>
        <v>472360641</v>
      </c>
      <c r="R70" s="216">
        <f t="shared" si="68"/>
        <v>0</v>
      </c>
      <c r="S70" s="216">
        <f t="shared" si="68"/>
        <v>0</v>
      </c>
      <c r="T70" s="216">
        <f t="shared" si="68"/>
        <v>708855632</v>
      </c>
      <c r="U70" s="208"/>
      <c r="V70" s="208"/>
      <c r="W70" s="208"/>
      <c r="X70" s="208"/>
    </row>
    <row r="71" spans="1:24" s="105" customFormat="1" x14ac:dyDescent="0.3">
      <c r="A71" s="113" t="s">
        <v>679</v>
      </c>
      <c r="B71" s="113" t="s">
        <v>634</v>
      </c>
      <c r="C71" s="216">
        <f>C72</f>
        <v>108000000</v>
      </c>
      <c r="D71" s="216">
        <f t="shared" ref="D71:T72" si="69">D72</f>
        <v>108000000</v>
      </c>
      <c r="E71" s="216">
        <f t="shared" si="69"/>
        <v>1474473653</v>
      </c>
      <c r="F71" s="216">
        <f t="shared" si="69"/>
        <v>0</v>
      </c>
      <c r="G71" s="216">
        <f t="shared" si="69"/>
        <v>441234272</v>
      </c>
      <c r="H71" s="216">
        <f t="shared" si="69"/>
        <v>656959771</v>
      </c>
      <c r="I71" s="216">
        <f t="shared" si="69"/>
        <v>1366748154</v>
      </c>
      <c r="J71" s="216">
        <f t="shared" si="69"/>
        <v>632859997</v>
      </c>
      <c r="K71" s="216">
        <f t="shared" si="69"/>
        <v>632859997</v>
      </c>
      <c r="L71" s="216">
        <f t="shared" si="69"/>
        <v>632859997</v>
      </c>
      <c r="M71" s="216">
        <f t="shared" si="69"/>
        <v>232459997</v>
      </c>
      <c r="N71" s="216">
        <f t="shared" si="69"/>
        <v>-84279937</v>
      </c>
      <c r="O71" s="216">
        <f t="shared" si="69"/>
        <v>0</v>
      </c>
      <c r="P71" s="216">
        <f t="shared" si="69"/>
        <v>496331417</v>
      </c>
      <c r="Q71" s="216">
        <f t="shared" si="69"/>
        <v>95931417</v>
      </c>
      <c r="R71" s="216">
        <f t="shared" si="69"/>
        <v>0</v>
      </c>
      <c r="S71" s="216">
        <f t="shared" si="69"/>
        <v>0</v>
      </c>
      <c r="T71" s="216">
        <f t="shared" si="69"/>
        <v>400400000</v>
      </c>
      <c r="U71" s="208"/>
      <c r="V71" s="208"/>
      <c r="W71" s="208"/>
      <c r="X71" s="208"/>
    </row>
    <row r="72" spans="1:24" s="105" customFormat="1" x14ac:dyDescent="0.3">
      <c r="A72" s="113" t="s">
        <v>680</v>
      </c>
      <c r="B72" s="113" t="s">
        <v>635</v>
      </c>
      <c r="C72" s="216">
        <f>C73</f>
        <v>108000000</v>
      </c>
      <c r="D72" s="216">
        <f t="shared" si="69"/>
        <v>108000000</v>
      </c>
      <c r="E72" s="216">
        <f t="shared" si="69"/>
        <v>1474473653</v>
      </c>
      <c r="F72" s="216">
        <f t="shared" si="69"/>
        <v>0</v>
      </c>
      <c r="G72" s="216">
        <f t="shared" si="69"/>
        <v>441234272</v>
      </c>
      <c r="H72" s="216">
        <f t="shared" si="69"/>
        <v>656959771</v>
      </c>
      <c r="I72" s="216">
        <f t="shared" si="69"/>
        <v>1366748154</v>
      </c>
      <c r="J72" s="216">
        <f t="shared" si="69"/>
        <v>632859997</v>
      </c>
      <c r="K72" s="216">
        <f t="shared" si="69"/>
        <v>632859997</v>
      </c>
      <c r="L72" s="216">
        <f t="shared" si="69"/>
        <v>632859997</v>
      </c>
      <c r="M72" s="216">
        <f t="shared" si="69"/>
        <v>232459997</v>
      </c>
      <c r="N72" s="216">
        <f t="shared" si="69"/>
        <v>-84279937</v>
      </c>
      <c r="O72" s="216">
        <f t="shared" si="69"/>
        <v>0</v>
      </c>
      <c r="P72" s="216">
        <f t="shared" si="69"/>
        <v>496331417</v>
      </c>
      <c r="Q72" s="216">
        <f t="shared" si="69"/>
        <v>95931417</v>
      </c>
      <c r="R72" s="216">
        <f t="shared" si="69"/>
        <v>0</v>
      </c>
      <c r="S72" s="216">
        <f t="shared" si="69"/>
        <v>0</v>
      </c>
      <c r="T72" s="216">
        <f t="shared" si="69"/>
        <v>400400000</v>
      </c>
      <c r="U72" s="208"/>
      <c r="V72" s="208"/>
      <c r="W72" s="208"/>
      <c r="X72" s="208"/>
    </row>
    <row r="73" spans="1:24" s="105" customFormat="1" x14ac:dyDescent="0.3">
      <c r="A73" s="113" t="s">
        <v>681</v>
      </c>
      <c r="B73" s="113" t="s">
        <v>636</v>
      </c>
      <c r="C73" s="216">
        <f t="shared" ref="C73:T73" si="70">C74+C77</f>
        <v>108000000</v>
      </c>
      <c r="D73" s="216">
        <f t="shared" si="70"/>
        <v>108000000</v>
      </c>
      <c r="E73" s="216">
        <f t="shared" si="70"/>
        <v>1474473653</v>
      </c>
      <c r="F73" s="216">
        <f t="shared" si="70"/>
        <v>0</v>
      </c>
      <c r="G73" s="216">
        <f t="shared" si="70"/>
        <v>441234272</v>
      </c>
      <c r="H73" s="216">
        <f t="shared" si="70"/>
        <v>656959771</v>
      </c>
      <c r="I73" s="216">
        <f t="shared" si="70"/>
        <v>1366748154</v>
      </c>
      <c r="J73" s="216">
        <f t="shared" si="70"/>
        <v>632859997</v>
      </c>
      <c r="K73" s="216">
        <f t="shared" si="70"/>
        <v>632859997</v>
      </c>
      <c r="L73" s="216">
        <f t="shared" si="70"/>
        <v>632859997</v>
      </c>
      <c r="M73" s="216">
        <f t="shared" si="70"/>
        <v>232459997</v>
      </c>
      <c r="N73" s="216">
        <f t="shared" si="70"/>
        <v>-84279937</v>
      </c>
      <c r="O73" s="216">
        <f t="shared" si="70"/>
        <v>0</v>
      </c>
      <c r="P73" s="216">
        <f t="shared" si="70"/>
        <v>496331417</v>
      </c>
      <c r="Q73" s="216">
        <f t="shared" si="70"/>
        <v>95931417</v>
      </c>
      <c r="R73" s="216">
        <f t="shared" si="70"/>
        <v>0</v>
      </c>
      <c r="S73" s="216">
        <f t="shared" si="70"/>
        <v>0</v>
      </c>
      <c r="T73" s="216">
        <f t="shared" si="70"/>
        <v>400400000</v>
      </c>
      <c r="U73" s="208"/>
      <c r="V73" s="208"/>
      <c r="W73" s="208"/>
      <c r="X73" s="208"/>
    </row>
    <row r="74" spans="1:24" s="105" customFormat="1" x14ac:dyDescent="0.3">
      <c r="A74" s="113" t="s">
        <v>702</v>
      </c>
      <c r="B74" s="217" t="s">
        <v>471</v>
      </c>
      <c r="C74" s="218">
        <f t="shared" ref="C74:T74" si="71">SUM(C75:C76)</f>
        <v>108000000</v>
      </c>
      <c r="D74" s="218">
        <f t="shared" si="71"/>
        <v>108000000</v>
      </c>
      <c r="E74" s="218">
        <f t="shared" si="71"/>
        <v>350000000</v>
      </c>
      <c r="F74" s="218">
        <f t="shared" si="71"/>
        <v>0</v>
      </c>
      <c r="G74" s="218">
        <f t="shared" si="71"/>
        <v>0</v>
      </c>
      <c r="H74" s="218">
        <f t="shared" si="71"/>
        <v>0</v>
      </c>
      <c r="I74" s="218">
        <f t="shared" si="71"/>
        <v>458000000</v>
      </c>
      <c r="J74" s="218">
        <f t="shared" si="71"/>
        <v>107618275</v>
      </c>
      <c r="K74" s="218">
        <f t="shared" si="71"/>
        <v>107618275</v>
      </c>
      <c r="L74" s="218">
        <f t="shared" si="71"/>
        <v>107618275</v>
      </c>
      <c r="M74" s="218">
        <f t="shared" si="71"/>
        <v>107618275</v>
      </c>
      <c r="N74" s="218">
        <f t="shared" si="71"/>
        <v>-381725</v>
      </c>
      <c r="O74" s="218">
        <f t="shared" si="71"/>
        <v>0</v>
      </c>
      <c r="P74" s="218">
        <f t="shared" si="71"/>
        <v>22682542</v>
      </c>
      <c r="Q74" s="218">
        <f t="shared" si="71"/>
        <v>22682542</v>
      </c>
      <c r="R74" s="218">
        <f t="shared" si="71"/>
        <v>0</v>
      </c>
      <c r="S74" s="218">
        <f t="shared" si="71"/>
        <v>0</v>
      </c>
      <c r="T74" s="218">
        <f t="shared" si="71"/>
        <v>0</v>
      </c>
      <c r="U74" s="208"/>
      <c r="V74" s="208"/>
      <c r="W74" s="208"/>
      <c r="X74" s="208"/>
    </row>
    <row r="75" spans="1:24" x14ac:dyDescent="0.3">
      <c r="A75" s="111" t="s">
        <v>473</v>
      </c>
      <c r="B75" s="211" t="s">
        <v>472</v>
      </c>
      <c r="C75" s="219">
        <v>54000000</v>
      </c>
      <c r="D75" s="209">
        <f>SUMIFS(gastos!Q:Q,gastos!M:M,ejec_ICPA!B75,gastos!P:P,ejec_ICPA!A75)</f>
        <v>54000000</v>
      </c>
      <c r="E75" s="209">
        <f>SUMIFS(gastos!R:R,gastos!M:M,ejec_ICPA!B75,gastos!P:P,ejec_ICPA!A75)</f>
        <v>350000000</v>
      </c>
      <c r="F75" s="209">
        <f>SUMIFS(gastos!S:S,gastos!M:M,ejec_ICPA!B75,gastos!P:P,ejec_ICPA!A75)</f>
        <v>0</v>
      </c>
      <c r="G75" s="209">
        <f>SUMIFS(gastos!T:T,gastos!M:M,ejec_ICPA!B75,gastos!P:P,ejec_ICPA!A75)</f>
        <v>0</v>
      </c>
      <c r="H75" s="209">
        <f>SUMIFS(gastos!U:U,gastos!M:M,ejec_ICPA!B75,gastos!P:P,ejec_ICPA!A75)</f>
        <v>0</v>
      </c>
      <c r="I75" s="209">
        <f t="shared" ref="I75:I76" si="72">D75+E75-F75+G75-H75</f>
        <v>404000000</v>
      </c>
      <c r="J75" s="209">
        <f>SUMIFS(gastos!W:W,gastos!M:M,ejec_ICPA!B75,gastos!P:P,ejec_ICPA!A75)</f>
        <v>53618275</v>
      </c>
      <c r="K75" s="209">
        <f>SUMIFS(gastos!X:X,gastos!$M:$M,ejec_ICPA!B75,gastos!$P:$P,ejec_ICPA!A75)</f>
        <v>53618275</v>
      </c>
      <c r="L75" s="209">
        <f>SUMIFS(gastos!$Z:$Z,gastos!$M:$M,ejec_ICPA!$B75,gastos!$P:$P,ejec_ICPA!$A75)</f>
        <v>53618275</v>
      </c>
      <c r="M75" s="209">
        <f>SUMIFS(gastos!$AE:$AE,gastos!$M:$M,ejec_ICPA!$B75,gastos!$P:$P,ejec_ICPA!$A75)</f>
        <v>53618275</v>
      </c>
      <c r="N75" s="209">
        <f>SUMIFS(gastos!AG:AG,gastos!$M:$M,ejec_ICPA!B75,gastos!$P:$P,ejec_ICPA!A75)</f>
        <v>-381725</v>
      </c>
      <c r="O75" s="209">
        <f>SUMIFS(gastos!AH:AH,gastos!$M:$M,ejec_ICPA!$B75,gastos!$P:$P,ejec_ICPA!$A75)</f>
        <v>0</v>
      </c>
      <c r="P75" s="209">
        <f>SUMIFS(gastos!$AF:$AF,gastos!$M:$M,ejec_ICPA!$B75,gastos!$P:$P,ejec_ICPA!$A75)</f>
        <v>11452010</v>
      </c>
      <c r="Q75" s="209">
        <f>SUMIFS(gastos!AJ:AJ,gastos!$M:$M,ejec_ICPA!$B75,gastos!$P:$P,ejec_ICPA!$A75)</f>
        <v>11452010</v>
      </c>
      <c r="R75" s="209">
        <f t="shared" ref="R75:R76" si="73">K75-L75</f>
        <v>0</v>
      </c>
      <c r="S75" s="209">
        <f t="shared" ref="S75:S76" si="74">L75-J75</f>
        <v>0</v>
      </c>
      <c r="T75" s="209">
        <f t="shared" ref="T75:T76" si="75">J75-M75</f>
        <v>0</v>
      </c>
    </row>
    <row r="76" spans="1:24" x14ac:dyDescent="0.3">
      <c r="A76" s="111" t="s">
        <v>476</v>
      </c>
      <c r="B76" s="211" t="s">
        <v>475</v>
      </c>
      <c r="C76" s="219">
        <v>54000000</v>
      </c>
      <c r="D76" s="209">
        <f>SUMIFS(gastos!Q:Q,gastos!M:M,ejec_ICPA!B76,gastos!P:P,ejec_ICPA!A76)</f>
        <v>54000000</v>
      </c>
      <c r="E76" s="209">
        <f>SUMIFS(gastos!R:R,gastos!M:M,ejec_ICPA!B76,gastos!P:P,ejec_ICPA!A76)</f>
        <v>0</v>
      </c>
      <c r="F76" s="209">
        <f>SUMIFS(gastos!S:S,gastos!M:M,ejec_ICPA!B76,gastos!P:P,ejec_ICPA!A76)</f>
        <v>0</v>
      </c>
      <c r="G76" s="209">
        <f>SUMIFS(gastos!T:T,gastos!M:M,ejec_ICPA!B76,gastos!P:P,ejec_ICPA!A76)</f>
        <v>0</v>
      </c>
      <c r="H76" s="209">
        <f>SUMIFS(gastos!U:U,gastos!M:M,ejec_ICPA!B76,gastos!P:P,ejec_ICPA!A76)</f>
        <v>0</v>
      </c>
      <c r="I76" s="209">
        <f t="shared" si="72"/>
        <v>54000000</v>
      </c>
      <c r="J76" s="209">
        <f>SUMIFS(gastos!W:W,gastos!M:M,ejec_ICPA!B76,gastos!P:P,ejec_ICPA!A76)</f>
        <v>54000000</v>
      </c>
      <c r="K76" s="209">
        <f>SUMIFS(gastos!X:X,gastos!$M:$M,ejec_ICPA!B76,gastos!$P:$P,ejec_ICPA!A76)</f>
        <v>54000000</v>
      </c>
      <c r="L76" s="209">
        <f>SUMIFS(gastos!$Z:$Z,gastos!$M:$M,ejec_ICPA!$B76,gastos!$P:$P,ejec_ICPA!$A76)</f>
        <v>54000000</v>
      </c>
      <c r="M76" s="209">
        <f>SUMIFS(gastos!$AE:$AE,gastos!$M:$M,ejec_ICPA!$B76,gastos!$P:$P,ejec_ICPA!$A76)</f>
        <v>54000000</v>
      </c>
      <c r="N76" s="209">
        <f>SUMIFS(gastos!AG:AG,gastos!$M:$M,ejec_ICPA!B76,gastos!$P:$P,ejec_ICPA!A76)</f>
        <v>0</v>
      </c>
      <c r="O76" s="209">
        <f>SUMIFS(gastos!AH:AH,gastos!$M:$M,ejec_ICPA!$B76,gastos!$P:$P,ejec_ICPA!$A76)</f>
        <v>0</v>
      </c>
      <c r="P76" s="209">
        <f>SUMIFS(gastos!$AF:$AF,gastos!$M:$M,ejec_ICPA!$B76,gastos!$P:$P,ejec_ICPA!$A76)</f>
        <v>11230532</v>
      </c>
      <c r="Q76" s="209">
        <f>SUMIFS(gastos!AJ:AJ,gastos!$M:$M,ejec_ICPA!$B76,gastos!$P:$P,ejec_ICPA!$A76)</f>
        <v>11230532</v>
      </c>
      <c r="R76" s="209">
        <f t="shared" si="73"/>
        <v>0</v>
      </c>
      <c r="S76" s="209">
        <f t="shared" si="74"/>
        <v>0</v>
      </c>
      <c r="T76" s="209">
        <f t="shared" si="75"/>
        <v>0</v>
      </c>
    </row>
    <row r="77" spans="1:24" s="105" customFormat="1" x14ac:dyDescent="0.3">
      <c r="A77" s="113" t="s">
        <v>889</v>
      </c>
      <c r="B77" s="217" t="s">
        <v>471</v>
      </c>
      <c r="C77" s="218">
        <f>SUM(C78:C79)</f>
        <v>0</v>
      </c>
      <c r="D77" s="218">
        <f t="shared" ref="D77:T77" si="76">SUM(D78:D79)</f>
        <v>0</v>
      </c>
      <c r="E77" s="218">
        <f t="shared" si="76"/>
        <v>1124473653</v>
      </c>
      <c r="F77" s="218">
        <f t="shared" si="76"/>
        <v>0</v>
      </c>
      <c r="G77" s="218">
        <f>SUM(G78:G79)</f>
        <v>441234272</v>
      </c>
      <c r="H77" s="218">
        <f t="shared" si="76"/>
        <v>656959771</v>
      </c>
      <c r="I77" s="218">
        <f t="shared" si="76"/>
        <v>908748154</v>
      </c>
      <c r="J77" s="218">
        <f t="shared" si="76"/>
        <v>525241722</v>
      </c>
      <c r="K77" s="218">
        <f t="shared" si="76"/>
        <v>525241722</v>
      </c>
      <c r="L77" s="218">
        <f t="shared" si="76"/>
        <v>525241722</v>
      </c>
      <c r="M77" s="218">
        <f t="shared" si="76"/>
        <v>124841722</v>
      </c>
      <c r="N77" s="218">
        <f t="shared" si="76"/>
        <v>-83898212</v>
      </c>
      <c r="O77" s="218">
        <f t="shared" si="76"/>
        <v>0</v>
      </c>
      <c r="P77" s="218">
        <f t="shared" si="76"/>
        <v>473648875</v>
      </c>
      <c r="Q77" s="218">
        <f t="shared" si="76"/>
        <v>73248875</v>
      </c>
      <c r="R77" s="218">
        <f t="shared" si="76"/>
        <v>0</v>
      </c>
      <c r="S77" s="218">
        <f t="shared" si="76"/>
        <v>0</v>
      </c>
      <c r="T77" s="218">
        <f t="shared" si="76"/>
        <v>400400000</v>
      </c>
      <c r="U77" s="208"/>
      <c r="V77" s="208"/>
      <c r="W77" s="208"/>
      <c r="X77" s="208"/>
    </row>
    <row r="78" spans="1:24" x14ac:dyDescent="0.3">
      <c r="A78" s="111" t="s">
        <v>851</v>
      </c>
      <c r="B78" s="111" t="s">
        <v>472</v>
      </c>
      <c r="C78" s="219">
        <v>0</v>
      </c>
      <c r="D78" s="209">
        <f>SUMIFS(gastos!Q:Q,gastos!M:M,ejec_ICPA!B78,gastos!P:P,ejec_ICPA!A78)</f>
        <v>0</v>
      </c>
      <c r="E78" s="209">
        <f>SUMIFS(gastos!R:R,gastos!M:M,ejec_ICPA!B78,gastos!P:P,ejec_ICPA!A78)</f>
        <v>1124473653</v>
      </c>
      <c r="F78" s="209">
        <f>SUMIFS(gastos!S:S,gastos!M:M,ejec_ICPA!B78,gastos!P:P,ejec_ICPA!A78)</f>
        <v>0</v>
      </c>
      <c r="G78" s="209">
        <f>SUMIFS(gastos!T:T,gastos!M:M,ejec_ICPA!B78,gastos!P:P,ejec_ICPA!A78)</f>
        <v>0</v>
      </c>
      <c r="H78" s="209">
        <f>SUMIFS(gastos!U:U,gastos!M:M,ejec_ICPA!B78,gastos!P:P,ejec_ICPA!A78)</f>
        <v>656959771</v>
      </c>
      <c r="I78" s="209">
        <f t="shared" ref="I78:I79" si="77">D78+E78-F78+G78-H78</f>
        <v>467513882</v>
      </c>
      <c r="J78" s="209">
        <f>SUMIFS(gastos!W:W,gastos!M:M,ejec_ICPA!B78,gastos!P:P,ejec_ICPA!A78)</f>
        <v>284358575</v>
      </c>
      <c r="K78" s="209">
        <f>SUMIFS(gastos!X:X,gastos!$M:$M,ejec_ICPA!B78,gastos!$P:$P,ejec_ICPA!A78)</f>
        <v>284358575</v>
      </c>
      <c r="L78" s="209">
        <f>SUMIFS(gastos!$Z:$Z,gastos!$M:$M,ejec_ICPA!$B78,gastos!$P:$P,ejec_ICPA!$A78)</f>
        <v>284358575</v>
      </c>
      <c r="M78" s="209">
        <f>SUMIFS(gastos!$AE:$AE,gastos!$M:$M,ejec_ICPA!$B78,gastos!$P:$P,ejec_ICPA!$A78)</f>
        <v>81192847</v>
      </c>
      <c r="N78" s="209">
        <f>SUMIFS(gastos!AG:AG,gastos!$M:$M,ejec_ICPA!B78,gastos!$P:$P,ejec_ICPA!A78)</f>
        <v>-53898212</v>
      </c>
      <c r="O78" s="209">
        <f>SUMIFS(gastos!AH:AH,gastos!$M:$M,ejec_ICPA!$B78,gastos!$P:$P,ejec_ICPA!$A78)</f>
        <v>0</v>
      </c>
      <c r="P78" s="209">
        <f>SUMIFS(gastos!$AF:$AF,gastos!$M:$M,ejec_ICPA!$B78,gastos!$P:$P,ejec_ICPA!$A78)</f>
        <v>248765728</v>
      </c>
      <c r="Q78" s="209">
        <f>SUMIFS(gastos!AJ:AJ,gastos!$M:$M,ejec_ICPA!$B78,gastos!$P:$P,ejec_ICPA!$A78)</f>
        <v>45600000</v>
      </c>
      <c r="R78" s="209">
        <f t="shared" ref="R78:R79" si="78">K78-L78</f>
        <v>0</v>
      </c>
      <c r="S78" s="209">
        <f t="shared" ref="S78:S79" si="79">L78-J78</f>
        <v>0</v>
      </c>
      <c r="T78" s="209">
        <f t="shared" ref="T78:T79" si="80">J78-M78</f>
        <v>203165728</v>
      </c>
    </row>
    <row r="79" spans="1:24" x14ac:dyDescent="0.3">
      <c r="A79" s="111" t="s">
        <v>931</v>
      </c>
      <c r="B79" s="211" t="s">
        <v>475</v>
      </c>
      <c r="C79" s="219">
        <v>0</v>
      </c>
      <c r="D79" s="209">
        <f>SUMIFS(gastos!Q:Q,gastos!M:M,ejec_ICPA!B79,gastos!P:P,ejec_ICPA!A79)</f>
        <v>0</v>
      </c>
      <c r="E79" s="209">
        <f>SUMIFS(gastos!R:R,gastos!M:M,ejec_ICPA!B79,gastos!P:P,ejec_ICPA!A79)</f>
        <v>0</v>
      </c>
      <c r="F79" s="209">
        <f>SUMIFS(gastos!S:S,gastos!M:M,ejec_ICPA!B79,gastos!P:P,ejec_ICPA!A79)</f>
        <v>0</v>
      </c>
      <c r="G79" s="209">
        <f>SUMIFS(gastos!T:T,gastos!M:M,ejec_ICPA!B79,gastos!P:P,ejec_ICPA!A79)</f>
        <v>441234272</v>
      </c>
      <c r="H79" s="209">
        <f>SUMIFS(gastos!U:U,gastos!M:M,ejec_ICPA!B79,gastos!P:P,ejec_ICPA!A79)</f>
        <v>0</v>
      </c>
      <c r="I79" s="209">
        <f t="shared" si="77"/>
        <v>441234272</v>
      </c>
      <c r="J79" s="209">
        <f>SUMIFS(gastos!W:W,gastos!M:M,ejec_ICPA!B79,gastos!P:P,ejec_ICPA!A79)</f>
        <v>240883147</v>
      </c>
      <c r="K79" s="209">
        <f>SUMIFS(gastos!X:X,gastos!$M:$M,ejec_ICPA!B79,gastos!$P:$P,ejec_ICPA!A79)</f>
        <v>240883147</v>
      </c>
      <c r="L79" s="209">
        <f>SUMIFS(gastos!$Z:$Z,gastos!$M:$M,ejec_ICPA!$B79,gastos!$P:$P,ejec_ICPA!$A79)</f>
        <v>240883147</v>
      </c>
      <c r="M79" s="209">
        <f>SUMIFS(gastos!$AE:$AE,gastos!$M:$M,ejec_ICPA!$B79,gastos!$P:$P,ejec_ICPA!$A79)</f>
        <v>43648875</v>
      </c>
      <c r="N79" s="209">
        <f>SUMIFS(gastos!AG:AG,gastos!$M:$M,ejec_ICPA!B79,gastos!$P:$P,ejec_ICPA!A79)</f>
        <v>-30000000</v>
      </c>
      <c r="O79" s="209">
        <f>SUMIFS(gastos!AH:AH,gastos!$M:$M,ejec_ICPA!$B79,gastos!$P:$P,ejec_ICPA!$A79)</f>
        <v>0</v>
      </c>
      <c r="P79" s="209">
        <f>SUMIFS(gastos!$AF:$AF,gastos!$M:$M,ejec_ICPA!$B79,gastos!$P:$P,ejec_ICPA!$A79)</f>
        <v>224883147</v>
      </c>
      <c r="Q79" s="209">
        <f>SUMIFS(gastos!AJ:AJ,gastos!$M:$M,ejec_ICPA!$B79,gastos!$P:$P,ejec_ICPA!$A79)</f>
        <v>27648875</v>
      </c>
      <c r="R79" s="209">
        <f t="shared" si="78"/>
        <v>0</v>
      </c>
      <c r="S79" s="209">
        <f t="shared" si="79"/>
        <v>0</v>
      </c>
      <c r="T79" s="209">
        <f t="shared" si="80"/>
        <v>197234272</v>
      </c>
    </row>
    <row r="80" spans="1:24" s="105" customFormat="1" x14ac:dyDescent="0.3">
      <c r="A80" s="226">
        <v>2320101003</v>
      </c>
      <c r="B80" s="546" t="s">
        <v>885</v>
      </c>
      <c r="C80" s="218">
        <f>C81</f>
        <v>0</v>
      </c>
      <c r="D80" s="218">
        <f t="shared" ref="D80:T81" si="81">D81</f>
        <v>0</v>
      </c>
      <c r="E80" s="218">
        <f t="shared" si="81"/>
        <v>0</v>
      </c>
      <c r="F80" s="218">
        <f t="shared" si="81"/>
        <v>0</v>
      </c>
      <c r="G80" s="218">
        <f t="shared" si="81"/>
        <v>108126549</v>
      </c>
      <c r="H80" s="218">
        <f t="shared" si="81"/>
        <v>36673450</v>
      </c>
      <c r="I80" s="218">
        <f t="shared" si="81"/>
        <v>71453099</v>
      </c>
      <c r="J80" s="218">
        <f t="shared" si="81"/>
        <v>56209501</v>
      </c>
      <c r="K80" s="218">
        <f t="shared" si="81"/>
        <v>56209501</v>
      </c>
      <c r="L80" s="218">
        <f t="shared" si="81"/>
        <v>56209501</v>
      </c>
      <c r="M80" s="218">
        <f t="shared" si="81"/>
        <v>26154389</v>
      </c>
      <c r="N80" s="218">
        <f t="shared" si="81"/>
        <v>-5925659</v>
      </c>
      <c r="O80" s="218">
        <f t="shared" si="81"/>
        <v>0</v>
      </c>
      <c r="P80" s="218">
        <f t="shared" si="81"/>
        <v>44209501</v>
      </c>
      <c r="Q80" s="218">
        <f t="shared" si="81"/>
        <v>14154389</v>
      </c>
      <c r="R80" s="218">
        <f t="shared" si="81"/>
        <v>0</v>
      </c>
      <c r="S80" s="218">
        <f t="shared" si="81"/>
        <v>0</v>
      </c>
      <c r="T80" s="218">
        <f t="shared" si="81"/>
        <v>30055112</v>
      </c>
      <c r="U80" s="208"/>
      <c r="V80" s="208"/>
      <c r="W80" s="208"/>
      <c r="X80" s="208"/>
    </row>
    <row r="81" spans="1:24" s="105" customFormat="1" x14ac:dyDescent="0.3">
      <c r="A81" s="226" t="s">
        <v>883</v>
      </c>
      <c r="B81" s="104" t="s">
        <v>886</v>
      </c>
      <c r="C81" s="218">
        <f>C82</f>
        <v>0</v>
      </c>
      <c r="D81" s="218">
        <f t="shared" si="81"/>
        <v>0</v>
      </c>
      <c r="E81" s="218">
        <f t="shared" si="81"/>
        <v>0</v>
      </c>
      <c r="F81" s="218">
        <f t="shared" si="81"/>
        <v>0</v>
      </c>
      <c r="G81" s="218">
        <f t="shared" si="81"/>
        <v>108126549</v>
      </c>
      <c r="H81" s="218">
        <f t="shared" si="81"/>
        <v>36673450</v>
      </c>
      <c r="I81" s="218">
        <f t="shared" si="81"/>
        <v>71453099</v>
      </c>
      <c r="J81" s="218">
        <f t="shared" si="81"/>
        <v>56209501</v>
      </c>
      <c r="K81" s="218">
        <f t="shared" si="81"/>
        <v>56209501</v>
      </c>
      <c r="L81" s="218">
        <f t="shared" si="81"/>
        <v>56209501</v>
      </c>
      <c r="M81" s="218">
        <f t="shared" si="81"/>
        <v>26154389</v>
      </c>
      <c r="N81" s="218">
        <f t="shared" si="81"/>
        <v>-5925659</v>
      </c>
      <c r="O81" s="218">
        <f t="shared" si="81"/>
        <v>0</v>
      </c>
      <c r="P81" s="218">
        <f t="shared" si="81"/>
        <v>44209501</v>
      </c>
      <c r="Q81" s="218">
        <f t="shared" si="81"/>
        <v>14154389</v>
      </c>
      <c r="R81" s="218">
        <f t="shared" si="81"/>
        <v>0</v>
      </c>
      <c r="S81" s="218">
        <f t="shared" si="81"/>
        <v>0</v>
      </c>
      <c r="T81" s="218">
        <f t="shared" si="81"/>
        <v>30055112</v>
      </c>
      <c r="U81" s="208"/>
      <c r="V81" s="208"/>
      <c r="W81" s="208"/>
      <c r="X81" s="208"/>
    </row>
    <row r="82" spans="1:24" s="105" customFormat="1" x14ac:dyDescent="0.3">
      <c r="A82" s="226" t="s">
        <v>884</v>
      </c>
      <c r="B82" s="113" t="s">
        <v>887</v>
      </c>
      <c r="C82" s="218">
        <f t="shared" ref="C82:T82" si="82">C83+C85</f>
        <v>0</v>
      </c>
      <c r="D82" s="218">
        <f t="shared" si="82"/>
        <v>0</v>
      </c>
      <c r="E82" s="218">
        <f t="shared" si="82"/>
        <v>0</v>
      </c>
      <c r="F82" s="218">
        <f t="shared" si="82"/>
        <v>0</v>
      </c>
      <c r="G82" s="218">
        <f t="shared" si="82"/>
        <v>108126549</v>
      </c>
      <c r="H82" s="218">
        <f t="shared" si="82"/>
        <v>36673450</v>
      </c>
      <c r="I82" s="218">
        <f t="shared" si="82"/>
        <v>71453099</v>
      </c>
      <c r="J82" s="218">
        <f t="shared" si="82"/>
        <v>56209501</v>
      </c>
      <c r="K82" s="218">
        <f t="shared" si="82"/>
        <v>56209501</v>
      </c>
      <c r="L82" s="218">
        <f t="shared" si="82"/>
        <v>56209501</v>
      </c>
      <c r="M82" s="218">
        <f t="shared" si="82"/>
        <v>26154389</v>
      </c>
      <c r="N82" s="218">
        <f t="shared" si="82"/>
        <v>-5925659</v>
      </c>
      <c r="O82" s="218">
        <f t="shared" si="82"/>
        <v>0</v>
      </c>
      <c r="P82" s="218">
        <f t="shared" si="82"/>
        <v>44209501</v>
      </c>
      <c r="Q82" s="218">
        <f t="shared" si="82"/>
        <v>14154389</v>
      </c>
      <c r="R82" s="218">
        <f t="shared" si="82"/>
        <v>0</v>
      </c>
      <c r="S82" s="218">
        <f t="shared" si="82"/>
        <v>0</v>
      </c>
      <c r="T82" s="218">
        <f t="shared" si="82"/>
        <v>30055112</v>
      </c>
      <c r="U82" s="208"/>
      <c r="V82" s="208"/>
      <c r="W82" s="208"/>
      <c r="X82" s="208"/>
    </row>
    <row r="83" spans="1:24" s="105" customFormat="1" x14ac:dyDescent="0.3">
      <c r="A83" s="113" t="s">
        <v>896</v>
      </c>
      <c r="B83" s="217" t="s">
        <v>486</v>
      </c>
      <c r="C83" s="218">
        <f>SUM(C84)</f>
        <v>0</v>
      </c>
      <c r="D83" s="218">
        <f t="shared" ref="D83:T85" si="83">SUM(D84)</f>
        <v>0</v>
      </c>
      <c r="E83" s="218">
        <f t="shared" si="83"/>
        <v>0</v>
      </c>
      <c r="F83" s="218">
        <f t="shared" si="83"/>
        <v>0</v>
      </c>
      <c r="G83" s="218">
        <f t="shared" si="83"/>
        <v>30699999</v>
      </c>
      <c r="H83" s="218">
        <f t="shared" si="83"/>
        <v>6673450</v>
      </c>
      <c r="I83" s="218">
        <f t="shared" si="83"/>
        <v>24026549</v>
      </c>
      <c r="J83" s="218">
        <f t="shared" si="83"/>
        <v>14154389</v>
      </c>
      <c r="K83" s="218">
        <f t="shared" si="83"/>
        <v>14154389</v>
      </c>
      <c r="L83" s="218">
        <f t="shared" si="83"/>
        <v>14154389</v>
      </c>
      <c r="M83" s="218">
        <f t="shared" si="83"/>
        <v>14154389</v>
      </c>
      <c r="N83" s="218">
        <f t="shared" si="83"/>
        <v>-704221</v>
      </c>
      <c r="O83" s="218">
        <f t="shared" si="83"/>
        <v>0</v>
      </c>
      <c r="P83" s="218">
        <f t="shared" si="83"/>
        <v>14154389</v>
      </c>
      <c r="Q83" s="218">
        <f t="shared" si="83"/>
        <v>14154389</v>
      </c>
      <c r="R83" s="218">
        <f t="shared" si="83"/>
        <v>0</v>
      </c>
      <c r="S83" s="218">
        <f t="shared" si="83"/>
        <v>0</v>
      </c>
      <c r="T83" s="218">
        <f t="shared" si="83"/>
        <v>0</v>
      </c>
      <c r="U83" s="208"/>
      <c r="V83" s="208"/>
      <c r="W83" s="208"/>
      <c r="X83" s="208"/>
    </row>
    <row r="84" spans="1:24" x14ac:dyDescent="0.3">
      <c r="A84" s="111" t="s">
        <v>873</v>
      </c>
      <c r="B84" s="111" t="s">
        <v>872</v>
      </c>
      <c r="C84" s="219">
        <v>0</v>
      </c>
      <c r="D84" s="209">
        <f>SUMIFS(gastos!Q:Q,gastos!M:M,ejec_ICPA!B84,gastos!P:P,ejec_ICPA!A84)</f>
        <v>0</v>
      </c>
      <c r="E84" s="209">
        <f>SUMIFS(gastos!R:R,gastos!M:M,ejec_ICPA!B84,gastos!P:P,ejec_ICPA!A84)</f>
        <v>0</v>
      </c>
      <c r="F84" s="209">
        <f>SUMIFS(gastos!S:S,gastos!M:M,ejec_ICPA!B84,gastos!P:P,ejec_ICPA!A84)</f>
        <v>0</v>
      </c>
      <c r="G84" s="209">
        <f>SUMIFS(gastos!T:T,gastos!M:M,ejec_ICPA!B84,gastos!P:P,ejec_ICPA!A84)</f>
        <v>30699999</v>
      </c>
      <c r="H84" s="209">
        <f>SUMIFS(gastos!U:U,gastos!M:M,ejec_ICPA!B84,gastos!P:P,ejec_ICPA!A84)</f>
        <v>6673450</v>
      </c>
      <c r="I84" s="209">
        <f t="shared" ref="I84" si="84">D84+E84-F84+G84-H84</f>
        <v>24026549</v>
      </c>
      <c r="J84" s="209">
        <f>SUMIFS(gastos!W:W,gastos!M:M,ejec_ICPA!B84,gastos!P:P,ejec_ICPA!A84)</f>
        <v>14154389</v>
      </c>
      <c r="K84" s="209">
        <f>SUMIFS(gastos!X:X,gastos!$M:$M,ejec_ICPA!B84,gastos!$P:$P,ejec_ICPA!A84)</f>
        <v>14154389</v>
      </c>
      <c r="L84" s="209">
        <f>SUMIFS(gastos!$Z:$Z,gastos!$M:$M,ejec_ICPA!$B84,gastos!$P:$P,ejec_ICPA!$A84)</f>
        <v>14154389</v>
      </c>
      <c r="M84" s="209">
        <f>SUMIFS(gastos!$AE:$AE,gastos!$M:$M,ejec_ICPA!$B84,gastos!$P:$P,ejec_ICPA!$A84)</f>
        <v>14154389</v>
      </c>
      <c r="N84" s="209">
        <f>SUMIFS(gastos!AG:AG,gastos!$M:$M,ejec_ICPA!B84,gastos!$P:$P,ejec_ICPA!A84)</f>
        <v>-704221</v>
      </c>
      <c r="O84" s="209">
        <f>SUMIFS(gastos!AH:AH,gastos!$M:$M,ejec_ICPA!$B84,gastos!$P:$P,ejec_ICPA!$A84)</f>
        <v>0</v>
      </c>
      <c r="P84" s="209">
        <f>SUMIFS(gastos!$AF:$AF,gastos!$M:$M,ejec_ICPA!$B84,gastos!$P:$P,ejec_ICPA!$A84)</f>
        <v>14154389</v>
      </c>
      <c r="Q84" s="209">
        <f>SUMIFS(gastos!AJ:AJ,gastos!$M:$M,ejec_ICPA!$B84,gastos!$P:$P,ejec_ICPA!$A84)</f>
        <v>14154389</v>
      </c>
      <c r="R84" s="209">
        <f t="shared" ref="R84" si="85">K84-L84</f>
        <v>0</v>
      </c>
      <c r="S84" s="209">
        <f t="shared" ref="S84" si="86">L84-J84</f>
        <v>0</v>
      </c>
      <c r="T84" s="209">
        <f t="shared" ref="T84" si="87">J84-M84</f>
        <v>0</v>
      </c>
    </row>
    <row r="85" spans="1:24" s="105" customFormat="1" x14ac:dyDescent="0.3">
      <c r="A85" s="113" t="s">
        <v>938</v>
      </c>
      <c r="B85" s="217" t="s">
        <v>486</v>
      </c>
      <c r="C85" s="218">
        <f>SUM(C86)</f>
        <v>0</v>
      </c>
      <c r="D85" s="218">
        <f t="shared" si="83"/>
        <v>0</v>
      </c>
      <c r="E85" s="218">
        <f t="shared" si="83"/>
        <v>0</v>
      </c>
      <c r="F85" s="218">
        <f t="shared" si="83"/>
        <v>0</v>
      </c>
      <c r="G85" s="218">
        <f t="shared" si="83"/>
        <v>77426550</v>
      </c>
      <c r="H85" s="218">
        <f t="shared" si="83"/>
        <v>30000000</v>
      </c>
      <c r="I85" s="218">
        <f t="shared" si="83"/>
        <v>47426550</v>
      </c>
      <c r="J85" s="218">
        <f t="shared" si="83"/>
        <v>42055112</v>
      </c>
      <c r="K85" s="218">
        <f t="shared" si="83"/>
        <v>42055112</v>
      </c>
      <c r="L85" s="218">
        <f t="shared" si="83"/>
        <v>42055112</v>
      </c>
      <c r="M85" s="218">
        <f t="shared" si="83"/>
        <v>12000000</v>
      </c>
      <c r="N85" s="218">
        <f t="shared" si="83"/>
        <v>-5221438</v>
      </c>
      <c r="O85" s="218">
        <f t="shared" si="83"/>
        <v>0</v>
      </c>
      <c r="P85" s="218">
        <f t="shared" si="83"/>
        <v>30055112</v>
      </c>
      <c r="Q85" s="218">
        <f t="shared" si="83"/>
        <v>0</v>
      </c>
      <c r="R85" s="218">
        <f t="shared" si="83"/>
        <v>0</v>
      </c>
      <c r="S85" s="218">
        <f t="shared" si="83"/>
        <v>0</v>
      </c>
      <c r="T85" s="218">
        <f t="shared" si="83"/>
        <v>30055112</v>
      </c>
      <c r="U85" s="208"/>
      <c r="V85" s="208"/>
      <c r="W85" s="208"/>
      <c r="X85" s="208"/>
    </row>
    <row r="86" spans="1:24" x14ac:dyDescent="0.3">
      <c r="A86" s="111" t="s">
        <v>934</v>
      </c>
      <c r="B86" s="111" t="s">
        <v>872</v>
      </c>
      <c r="C86" s="219">
        <v>0</v>
      </c>
      <c r="D86" s="209">
        <f>SUMIFS(gastos!Q:Q,gastos!M:M,ejec_ICPA!B86,gastos!P:P,ejec_ICPA!A86)</f>
        <v>0</v>
      </c>
      <c r="E86" s="209">
        <f>SUMIFS(gastos!R:R,gastos!M:M,ejec_ICPA!B86,gastos!P:P,ejec_ICPA!A86)</f>
        <v>0</v>
      </c>
      <c r="F86" s="209">
        <f>SUMIFS(gastos!S:S,gastos!M:M,ejec_ICPA!B86,gastos!P:P,ejec_ICPA!A86)</f>
        <v>0</v>
      </c>
      <c r="G86" s="209">
        <f>SUMIFS(gastos!T:T,gastos!M:M,ejec_ICPA!B86,gastos!P:P,ejec_ICPA!A86)</f>
        <v>77426550</v>
      </c>
      <c r="H86" s="209">
        <f>SUMIFS(gastos!U:U,gastos!M:M,ejec_ICPA!B86,gastos!P:P,ejec_ICPA!A86)</f>
        <v>30000000</v>
      </c>
      <c r="I86" s="209">
        <f t="shared" ref="I86" si="88">D86+E86-F86+G86-H86</f>
        <v>47426550</v>
      </c>
      <c r="J86" s="209">
        <f>SUMIFS(gastos!W:W,gastos!M:M,ejec_ICPA!B86,gastos!P:P,ejec_ICPA!A86)</f>
        <v>42055112</v>
      </c>
      <c r="K86" s="209">
        <f>SUMIFS(gastos!X:X,gastos!$M:$M,ejec_ICPA!B86,gastos!$P:$P,ejec_ICPA!A86)</f>
        <v>42055112</v>
      </c>
      <c r="L86" s="209">
        <f>SUMIFS(gastos!$Z:$Z,gastos!$M:$M,ejec_ICPA!$B86,gastos!$P:$P,ejec_ICPA!$A86)</f>
        <v>42055112</v>
      </c>
      <c r="M86" s="209">
        <f>SUMIFS(gastos!$AE:$AE,gastos!$M:$M,ejec_ICPA!$B86,gastos!$P:$P,ejec_ICPA!$A86)</f>
        <v>12000000</v>
      </c>
      <c r="N86" s="209">
        <f>SUMIFS(gastos!AG:AG,gastos!$M:$M,ejec_ICPA!B86,gastos!$P:$P,ejec_ICPA!A86)</f>
        <v>-5221438</v>
      </c>
      <c r="O86" s="209">
        <f>SUMIFS(gastos!AH:AH,gastos!$M:$M,ejec_ICPA!$B86,gastos!$P:$P,ejec_ICPA!$A86)</f>
        <v>0</v>
      </c>
      <c r="P86" s="209">
        <f>SUMIFS(gastos!$AF:$AF,gastos!$M:$M,ejec_ICPA!$B86,gastos!$P:$P,ejec_ICPA!$A86)</f>
        <v>30055112</v>
      </c>
      <c r="Q86" s="209">
        <f>SUMIFS(gastos!AJ:AJ,gastos!$M:$M,ejec_ICPA!$B86,gastos!$P:$P,ejec_ICPA!$A86)</f>
        <v>0</v>
      </c>
      <c r="R86" s="209">
        <f t="shared" ref="R86" si="89">K86-L86</f>
        <v>0</v>
      </c>
      <c r="S86" s="209">
        <f t="shared" ref="S86" si="90">L86-J86</f>
        <v>0</v>
      </c>
      <c r="T86" s="209">
        <f t="shared" ref="T86" si="91">J86-M86</f>
        <v>30055112</v>
      </c>
    </row>
    <row r="87" spans="1:24" s="105" customFormat="1" x14ac:dyDescent="0.3">
      <c r="A87" s="113" t="s">
        <v>682</v>
      </c>
      <c r="B87" s="212" t="s">
        <v>637</v>
      </c>
      <c r="C87" s="218">
        <f>C88</f>
        <v>80000000</v>
      </c>
      <c r="D87" s="218">
        <f t="shared" ref="D87:T87" si="92">D88</f>
        <v>80000000</v>
      </c>
      <c r="E87" s="218">
        <f t="shared" si="92"/>
        <v>160000000</v>
      </c>
      <c r="F87" s="218">
        <f t="shared" si="92"/>
        <v>0</v>
      </c>
      <c r="G87" s="218">
        <f t="shared" si="92"/>
        <v>126692757</v>
      </c>
      <c r="H87" s="218">
        <f t="shared" si="92"/>
        <v>80000000</v>
      </c>
      <c r="I87" s="218">
        <f t="shared" si="92"/>
        <v>286692757</v>
      </c>
      <c r="J87" s="218">
        <f t="shared" si="92"/>
        <v>214171320</v>
      </c>
      <c r="K87" s="218">
        <f t="shared" si="92"/>
        <v>214171320</v>
      </c>
      <c r="L87" s="218">
        <f t="shared" si="92"/>
        <v>214171320</v>
      </c>
      <c r="M87" s="218">
        <f t="shared" si="92"/>
        <v>5600000</v>
      </c>
      <c r="N87" s="218">
        <f t="shared" si="92"/>
        <v>-46106504</v>
      </c>
      <c r="O87" s="218">
        <f t="shared" si="92"/>
        <v>0</v>
      </c>
      <c r="P87" s="218">
        <f t="shared" si="92"/>
        <v>214171320</v>
      </c>
      <c r="Q87" s="218">
        <f t="shared" si="92"/>
        <v>5600000</v>
      </c>
      <c r="R87" s="218">
        <f t="shared" si="92"/>
        <v>0</v>
      </c>
      <c r="S87" s="218">
        <f t="shared" si="92"/>
        <v>0</v>
      </c>
      <c r="T87" s="218">
        <f t="shared" si="92"/>
        <v>208571320</v>
      </c>
      <c r="U87" s="208"/>
      <c r="V87" s="208"/>
      <c r="W87" s="208"/>
      <c r="X87" s="208"/>
    </row>
    <row r="88" spans="1:24" s="105" customFormat="1" x14ac:dyDescent="0.3">
      <c r="A88" s="113" t="s">
        <v>683</v>
      </c>
      <c r="B88" s="212" t="s">
        <v>638</v>
      </c>
      <c r="C88" s="218">
        <f>C89+C95</f>
        <v>80000000</v>
      </c>
      <c r="D88" s="218">
        <f t="shared" ref="D88:T88" si="93">D89+D95</f>
        <v>80000000</v>
      </c>
      <c r="E88" s="218">
        <f t="shared" si="93"/>
        <v>160000000</v>
      </c>
      <c r="F88" s="218">
        <f t="shared" si="93"/>
        <v>0</v>
      </c>
      <c r="G88" s="218">
        <f t="shared" si="93"/>
        <v>126692757</v>
      </c>
      <c r="H88" s="218">
        <f t="shared" si="93"/>
        <v>80000000</v>
      </c>
      <c r="I88" s="218">
        <f t="shared" si="93"/>
        <v>286692757</v>
      </c>
      <c r="J88" s="218">
        <f t="shared" si="93"/>
        <v>214171320</v>
      </c>
      <c r="K88" s="218">
        <f t="shared" si="93"/>
        <v>214171320</v>
      </c>
      <c r="L88" s="218">
        <f t="shared" si="93"/>
        <v>214171320</v>
      </c>
      <c r="M88" s="218">
        <f t="shared" si="93"/>
        <v>5600000</v>
      </c>
      <c r="N88" s="218">
        <f t="shared" si="93"/>
        <v>-46106504</v>
      </c>
      <c r="O88" s="218">
        <f t="shared" si="93"/>
        <v>0</v>
      </c>
      <c r="P88" s="218">
        <f t="shared" si="93"/>
        <v>214171320</v>
      </c>
      <c r="Q88" s="218">
        <f t="shared" si="93"/>
        <v>5600000</v>
      </c>
      <c r="R88" s="218">
        <f t="shared" si="93"/>
        <v>0</v>
      </c>
      <c r="S88" s="218">
        <f t="shared" si="93"/>
        <v>0</v>
      </c>
      <c r="T88" s="218">
        <f t="shared" si="93"/>
        <v>208571320</v>
      </c>
      <c r="U88" s="208"/>
      <c r="V88" s="208"/>
      <c r="W88" s="208"/>
      <c r="X88" s="208"/>
    </row>
    <row r="89" spans="1:24" s="105" customFormat="1" x14ac:dyDescent="0.3">
      <c r="A89" s="225" t="s">
        <v>878</v>
      </c>
      <c r="B89" s="212" t="s">
        <v>879</v>
      </c>
      <c r="C89" s="218">
        <f>C90</f>
        <v>0</v>
      </c>
      <c r="D89" s="218">
        <f t="shared" ref="D89:T89" si="94">D90</f>
        <v>0</v>
      </c>
      <c r="E89" s="218">
        <f t="shared" si="94"/>
        <v>0</v>
      </c>
      <c r="F89" s="218">
        <f t="shared" si="94"/>
        <v>0</v>
      </c>
      <c r="G89" s="218">
        <f t="shared" si="94"/>
        <v>104107547</v>
      </c>
      <c r="H89" s="218">
        <f t="shared" si="94"/>
        <v>0</v>
      </c>
      <c r="I89" s="218">
        <f t="shared" si="94"/>
        <v>104107547</v>
      </c>
      <c r="J89" s="218">
        <f t="shared" si="94"/>
        <v>49371320</v>
      </c>
      <c r="K89" s="218">
        <f t="shared" si="94"/>
        <v>49371320</v>
      </c>
      <c r="L89" s="218">
        <f t="shared" si="94"/>
        <v>49371320</v>
      </c>
      <c r="M89" s="218">
        <f t="shared" si="94"/>
        <v>0</v>
      </c>
      <c r="N89" s="218">
        <f t="shared" si="94"/>
        <v>-28455740</v>
      </c>
      <c r="O89" s="218">
        <f t="shared" si="94"/>
        <v>0</v>
      </c>
      <c r="P89" s="218">
        <f t="shared" si="94"/>
        <v>49371320</v>
      </c>
      <c r="Q89" s="218">
        <f t="shared" si="94"/>
        <v>0</v>
      </c>
      <c r="R89" s="218">
        <f t="shared" si="94"/>
        <v>0</v>
      </c>
      <c r="S89" s="218">
        <f t="shared" si="94"/>
        <v>0</v>
      </c>
      <c r="T89" s="218">
        <f t="shared" si="94"/>
        <v>49371320</v>
      </c>
      <c r="U89" s="208"/>
      <c r="V89" s="208"/>
      <c r="W89" s="208"/>
      <c r="X89" s="208"/>
    </row>
    <row r="90" spans="1:24" s="105" customFormat="1" x14ac:dyDescent="0.3">
      <c r="A90" s="225" t="s">
        <v>880</v>
      </c>
      <c r="B90" s="113" t="s">
        <v>881</v>
      </c>
      <c r="C90" s="218">
        <f>C91+C93</f>
        <v>0</v>
      </c>
      <c r="D90" s="218">
        <f t="shared" ref="D90:T90" si="95">D91+D93</f>
        <v>0</v>
      </c>
      <c r="E90" s="218">
        <f t="shared" si="95"/>
        <v>0</v>
      </c>
      <c r="F90" s="218">
        <f t="shared" si="95"/>
        <v>0</v>
      </c>
      <c r="G90" s="218">
        <f t="shared" si="95"/>
        <v>104107547</v>
      </c>
      <c r="H90" s="218">
        <f t="shared" si="95"/>
        <v>0</v>
      </c>
      <c r="I90" s="218">
        <f t="shared" si="95"/>
        <v>104107547</v>
      </c>
      <c r="J90" s="218">
        <f t="shared" si="95"/>
        <v>49371320</v>
      </c>
      <c r="K90" s="218">
        <f t="shared" si="95"/>
        <v>49371320</v>
      </c>
      <c r="L90" s="218">
        <f t="shared" si="95"/>
        <v>49371320</v>
      </c>
      <c r="M90" s="218">
        <f t="shared" si="95"/>
        <v>0</v>
      </c>
      <c r="N90" s="218">
        <f t="shared" si="95"/>
        <v>-28455740</v>
      </c>
      <c r="O90" s="218">
        <f t="shared" si="95"/>
        <v>0</v>
      </c>
      <c r="P90" s="218">
        <f t="shared" si="95"/>
        <v>49371320</v>
      </c>
      <c r="Q90" s="218">
        <f t="shared" si="95"/>
        <v>0</v>
      </c>
      <c r="R90" s="218">
        <f t="shared" si="95"/>
        <v>0</v>
      </c>
      <c r="S90" s="218">
        <f t="shared" si="95"/>
        <v>0</v>
      </c>
      <c r="T90" s="218">
        <f t="shared" si="95"/>
        <v>49371320</v>
      </c>
      <c r="U90" s="208"/>
      <c r="V90" s="208"/>
      <c r="W90" s="208"/>
      <c r="X90" s="208"/>
    </row>
    <row r="91" spans="1:24" s="105" customFormat="1" x14ac:dyDescent="0.3">
      <c r="A91" s="113" t="s">
        <v>897</v>
      </c>
      <c r="B91" s="217" t="s">
        <v>486</v>
      </c>
      <c r="C91" s="218">
        <f>SUM(C92)</f>
        <v>0</v>
      </c>
      <c r="D91" s="218">
        <f t="shared" ref="D91:T93" si="96">SUM(D92)</f>
        <v>0</v>
      </c>
      <c r="E91" s="218">
        <f t="shared" si="96"/>
        <v>0</v>
      </c>
      <c r="F91" s="218">
        <f t="shared" si="96"/>
        <v>0</v>
      </c>
      <c r="G91" s="218">
        <f t="shared" si="96"/>
        <v>40341314</v>
      </c>
      <c r="H91" s="218">
        <f t="shared" si="96"/>
        <v>0</v>
      </c>
      <c r="I91" s="218">
        <f t="shared" si="96"/>
        <v>40341314</v>
      </c>
      <c r="J91" s="218">
        <f t="shared" si="96"/>
        <v>23325217</v>
      </c>
      <c r="K91" s="218">
        <f t="shared" si="96"/>
        <v>23325217</v>
      </c>
      <c r="L91" s="218">
        <f t="shared" si="96"/>
        <v>23325217</v>
      </c>
      <c r="M91" s="218">
        <f t="shared" si="96"/>
        <v>0</v>
      </c>
      <c r="N91" s="218">
        <f t="shared" si="96"/>
        <v>-10342647</v>
      </c>
      <c r="O91" s="218">
        <f t="shared" si="96"/>
        <v>0</v>
      </c>
      <c r="P91" s="218">
        <f t="shared" si="96"/>
        <v>23325217</v>
      </c>
      <c r="Q91" s="218">
        <f t="shared" si="96"/>
        <v>0</v>
      </c>
      <c r="R91" s="218">
        <f t="shared" si="96"/>
        <v>0</v>
      </c>
      <c r="S91" s="218">
        <f t="shared" si="96"/>
        <v>0</v>
      </c>
      <c r="T91" s="218">
        <f t="shared" si="96"/>
        <v>23325217</v>
      </c>
      <c r="U91" s="208"/>
      <c r="V91" s="208"/>
      <c r="W91" s="208"/>
      <c r="X91" s="208"/>
    </row>
    <row r="92" spans="1:24" x14ac:dyDescent="0.3">
      <c r="A92" s="111" t="s">
        <v>865</v>
      </c>
      <c r="B92" s="111" t="s">
        <v>864</v>
      </c>
      <c r="C92" s="219">
        <v>0</v>
      </c>
      <c r="D92" s="209">
        <f>SUMIFS(gastos!Q:Q,gastos!M:M,ejec_ICPA!B92,gastos!P:P,ejec_ICPA!A92)</f>
        <v>0</v>
      </c>
      <c r="E92" s="209">
        <f>SUMIFS(gastos!R:R,gastos!M:M,ejec_ICPA!B92,gastos!P:P,ejec_ICPA!A92)</f>
        <v>0</v>
      </c>
      <c r="F92" s="209">
        <f>SUMIFS(gastos!S:S,gastos!M:M,ejec_ICPA!B92,gastos!P:P,ejec_ICPA!A92)</f>
        <v>0</v>
      </c>
      <c r="G92" s="209">
        <f>SUMIFS(gastos!T:T,gastos!M:M,ejec_ICPA!B92,gastos!P:P,ejec_ICPA!A92)</f>
        <v>40341314</v>
      </c>
      <c r="H92" s="209">
        <f>SUMIFS(gastos!U:U,gastos!M:M,ejec_ICPA!B92,gastos!P:P,ejec_ICPA!A92)</f>
        <v>0</v>
      </c>
      <c r="I92" s="209">
        <f t="shared" ref="I92" si="97">D92+E92-F92+G92-H92</f>
        <v>40341314</v>
      </c>
      <c r="J92" s="209">
        <f>SUMIFS(gastos!W:W,gastos!M:M,ejec_ICPA!B92,gastos!P:P,ejec_ICPA!A92)</f>
        <v>23325217</v>
      </c>
      <c r="K92" s="209">
        <f>SUMIFS(gastos!X:X,gastos!$M:$M,ejec_ICPA!B92,gastos!$P:$P,ejec_ICPA!A92)</f>
        <v>23325217</v>
      </c>
      <c r="L92" s="209">
        <f>SUMIFS(gastos!$Z:$Z,gastos!$M:$M,ejec_ICPA!$B92,gastos!$P:$P,ejec_ICPA!$A92)</f>
        <v>23325217</v>
      </c>
      <c r="M92" s="209">
        <f>SUMIFS(gastos!$AE:$AE,gastos!$M:$M,ejec_ICPA!$B92,gastos!$P:$P,ejec_ICPA!$A92)</f>
        <v>0</v>
      </c>
      <c r="N92" s="209">
        <f>SUMIFS(gastos!AG:AG,gastos!$M:$M,ejec_ICPA!B92,gastos!$P:$P,ejec_ICPA!A92)</f>
        <v>-10342647</v>
      </c>
      <c r="O92" s="209">
        <f>SUMIFS(gastos!AH:AH,gastos!$M:$M,ejec_ICPA!$B92,gastos!$P:$P,ejec_ICPA!$A92)</f>
        <v>0</v>
      </c>
      <c r="P92" s="209">
        <f>SUMIFS(gastos!$AF:$AF,gastos!$M:$M,ejec_ICPA!$B92,gastos!$P:$P,ejec_ICPA!$A92)</f>
        <v>23325217</v>
      </c>
      <c r="Q92" s="209">
        <f>SUMIFS(gastos!AJ:AJ,gastos!$M:$M,ejec_ICPA!$B92,gastos!$P:$P,ejec_ICPA!$A92)</f>
        <v>0</v>
      </c>
      <c r="R92" s="209">
        <f t="shared" ref="R92" si="98">K92-L92</f>
        <v>0</v>
      </c>
      <c r="S92" s="209">
        <f t="shared" ref="S92" si="99">L92-J92</f>
        <v>0</v>
      </c>
      <c r="T92" s="209">
        <f t="shared" ref="T92" si="100">J92-M92</f>
        <v>23325217</v>
      </c>
    </row>
    <row r="93" spans="1:24" s="105" customFormat="1" x14ac:dyDescent="0.3">
      <c r="A93" s="113" t="s">
        <v>937</v>
      </c>
      <c r="B93" s="217" t="s">
        <v>486</v>
      </c>
      <c r="C93" s="218">
        <f>SUM(C94)</f>
        <v>0</v>
      </c>
      <c r="D93" s="218">
        <f t="shared" si="96"/>
        <v>0</v>
      </c>
      <c r="E93" s="218">
        <f t="shared" si="96"/>
        <v>0</v>
      </c>
      <c r="F93" s="218">
        <f t="shared" si="96"/>
        <v>0</v>
      </c>
      <c r="G93" s="218">
        <f>SUM(G94)</f>
        <v>63766233</v>
      </c>
      <c r="H93" s="218">
        <f t="shared" si="96"/>
        <v>0</v>
      </c>
      <c r="I93" s="218">
        <f t="shared" si="96"/>
        <v>63766233</v>
      </c>
      <c r="J93" s="218">
        <f t="shared" si="96"/>
        <v>26046103</v>
      </c>
      <c r="K93" s="218">
        <f t="shared" si="96"/>
        <v>26046103</v>
      </c>
      <c r="L93" s="218">
        <f t="shared" si="96"/>
        <v>26046103</v>
      </c>
      <c r="M93" s="218">
        <f t="shared" si="96"/>
        <v>0</v>
      </c>
      <c r="N93" s="218">
        <f t="shared" si="96"/>
        <v>-18113093</v>
      </c>
      <c r="O93" s="218">
        <f t="shared" si="96"/>
        <v>0</v>
      </c>
      <c r="P93" s="218">
        <f t="shared" si="96"/>
        <v>26046103</v>
      </c>
      <c r="Q93" s="218">
        <f t="shared" si="96"/>
        <v>0</v>
      </c>
      <c r="R93" s="218">
        <f t="shared" si="96"/>
        <v>0</v>
      </c>
      <c r="S93" s="218">
        <f t="shared" si="96"/>
        <v>0</v>
      </c>
      <c r="T93" s="218">
        <f t="shared" si="96"/>
        <v>26046103</v>
      </c>
      <c r="U93" s="208"/>
      <c r="V93" s="208"/>
      <c r="W93" s="208"/>
      <c r="X93" s="208"/>
    </row>
    <row r="94" spans="1:24" x14ac:dyDescent="0.3">
      <c r="A94" s="111" t="s">
        <v>933</v>
      </c>
      <c r="B94" s="111" t="s">
        <v>864</v>
      </c>
      <c r="C94" s="219">
        <v>0</v>
      </c>
      <c r="D94" s="209">
        <f>SUMIFS(gastos!Q:Q,gastos!M:M,ejec_ICPA!B94,gastos!P:P,ejec_ICPA!A94)</f>
        <v>0</v>
      </c>
      <c r="E94" s="209">
        <f>SUMIFS(gastos!R:R,gastos!M:M,ejec_ICPA!B94,gastos!P:P,ejec_ICPA!A94)</f>
        <v>0</v>
      </c>
      <c r="F94" s="209">
        <f>SUMIFS(gastos!S:S,gastos!M:M,ejec_ICPA!B94,gastos!P:P,ejec_ICPA!A94)</f>
        <v>0</v>
      </c>
      <c r="G94" s="209">
        <f>SUMIFS(gastos!T:T,gastos!M:M,ejec_ICPA!B94,gastos!P:P,ejec_ICPA!A94)</f>
        <v>63766233</v>
      </c>
      <c r="H94" s="209">
        <f>SUMIFS(gastos!U:U,gastos!M:M,ejec_ICPA!B94,gastos!P:P,ejec_ICPA!A94)</f>
        <v>0</v>
      </c>
      <c r="I94" s="209">
        <f t="shared" ref="I94" si="101">D94+E94-F94+G94-H94</f>
        <v>63766233</v>
      </c>
      <c r="J94" s="209">
        <f>SUMIFS(gastos!W:W,gastos!M:M,ejec_ICPA!B94,gastos!P:P,ejec_ICPA!A94)</f>
        <v>26046103</v>
      </c>
      <c r="K94" s="209">
        <f>SUMIFS(gastos!X:X,gastos!$M:$M,ejec_ICPA!B94,gastos!$P:$P,ejec_ICPA!A94)</f>
        <v>26046103</v>
      </c>
      <c r="L94" s="209">
        <f>SUMIFS(gastos!$Z:$Z,gastos!$M:$M,ejec_ICPA!$B94,gastos!$P:$P,ejec_ICPA!$A94)</f>
        <v>26046103</v>
      </c>
      <c r="M94" s="209">
        <f>SUMIFS(gastos!$AE:$AE,gastos!$M:$M,ejec_ICPA!$B94,gastos!$P:$P,ejec_ICPA!$A94)</f>
        <v>0</v>
      </c>
      <c r="N94" s="209">
        <f>SUMIFS(gastos!AG:AG,gastos!$M:$M,ejec_ICPA!B94,gastos!$P:$P,ejec_ICPA!A94)</f>
        <v>-18113093</v>
      </c>
      <c r="O94" s="209">
        <f>SUMIFS(gastos!AH:AH,gastos!$M:$M,ejec_ICPA!$B94,gastos!$P:$P,ejec_ICPA!$A94)</f>
        <v>0</v>
      </c>
      <c r="P94" s="209">
        <f>SUMIFS(gastos!$AF:$AF,gastos!$M:$M,ejec_ICPA!$B94,gastos!$P:$P,ejec_ICPA!$A94)</f>
        <v>26046103</v>
      </c>
      <c r="Q94" s="209">
        <f>SUMIFS(gastos!AJ:AJ,gastos!$M:$M,ejec_ICPA!$B94,gastos!$P:$P,ejec_ICPA!$A94)</f>
        <v>0</v>
      </c>
      <c r="R94" s="209">
        <f t="shared" ref="R94" si="102">K94-L94</f>
        <v>0</v>
      </c>
      <c r="S94" s="209">
        <f t="shared" ref="S94" si="103">L94-J94</f>
        <v>0</v>
      </c>
      <c r="T94" s="209">
        <f t="shared" ref="T94" si="104">J94-M94</f>
        <v>26046103</v>
      </c>
    </row>
    <row r="95" spans="1:24" s="105" customFormat="1" x14ac:dyDescent="0.3">
      <c r="A95" s="113" t="s">
        <v>684</v>
      </c>
      <c r="B95" s="212" t="s">
        <v>639</v>
      </c>
      <c r="C95" s="218">
        <f>C96+C98</f>
        <v>80000000</v>
      </c>
      <c r="D95" s="218">
        <f t="shared" ref="D95:T95" si="105">D96+D98</f>
        <v>80000000</v>
      </c>
      <c r="E95" s="218">
        <f t="shared" si="105"/>
        <v>160000000</v>
      </c>
      <c r="F95" s="218">
        <f t="shared" si="105"/>
        <v>0</v>
      </c>
      <c r="G95" s="218">
        <f t="shared" si="105"/>
        <v>22585210</v>
      </c>
      <c r="H95" s="218">
        <f t="shared" si="105"/>
        <v>80000000</v>
      </c>
      <c r="I95" s="218">
        <f t="shared" si="105"/>
        <v>182585210</v>
      </c>
      <c r="J95" s="218">
        <f t="shared" si="105"/>
        <v>164800000</v>
      </c>
      <c r="K95" s="218">
        <f t="shared" si="105"/>
        <v>164800000</v>
      </c>
      <c r="L95" s="218">
        <f t="shared" si="105"/>
        <v>164800000</v>
      </c>
      <c r="M95" s="218">
        <f t="shared" si="105"/>
        <v>5600000</v>
      </c>
      <c r="N95" s="218">
        <f t="shared" si="105"/>
        <v>-17650764</v>
      </c>
      <c r="O95" s="218">
        <f t="shared" si="105"/>
        <v>0</v>
      </c>
      <c r="P95" s="218">
        <f t="shared" si="105"/>
        <v>164800000</v>
      </c>
      <c r="Q95" s="218">
        <f t="shared" si="105"/>
        <v>5600000</v>
      </c>
      <c r="R95" s="218">
        <f t="shared" si="105"/>
        <v>0</v>
      </c>
      <c r="S95" s="218">
        <f t="shared" si="105"/>
        <v>0</v>
      </c>
      <c r="T95" s="218">
        <f t="shared" si="105"/>
        <v>159200000</v>
      </c>
      <c r="U95" s="208"/>
      <c r="V95" s="208"/>
      <c r="W95" s="208"/>
      <c r="X95" s="208"/>
    </row>
    <row r="96" spans="1:24" s="105" customFormat="1" x14ac:dyDescent="0.3">
      <c r="A96" s="113" t="s">
        <v>703</v>
      </c>
      <c r="B96" s="217" t="s">
        <v>486</v>
      </c>
      <c r="C96" s="218">
        <f>SUM(C97)</f>
        <v>80000000</v>
      </c>
      <c r="D96" s="218">
        <f t="shared" ref="D96:T98" si="106">SUM(D97)</f>
        <v>80000000</v>
      </c>
      <c r="E96" s="218">
        <f t="shared" si="106"/>
        <v>160000000</v>
      </c>
      <c r="F96" s="218">
        <f t="shared" si="106"/>
        <v>0</v>
      </c>
      <c r="G96" s="218">
        <f t="shared" si="106"/>
        <v>5000000</v>
      </c>
      <c r="H96" s="218">
        <f t="shared" si="106"/>
        <v>80000000</v>
      </c>
      <c r="I96" s="218">
        <f t="shared" si="106"/>
        <v>165000000</v>
      </c>
      <c r="J96" s="218">
        <f t="shared" si="106"/>
        <v>156300000</v>
      </c>
      <c r="K96" s="218">
        <f t="shared" si="106"/>
        <v>156300000</v>
      </c>
      <c r="L96" s="218">
        <f t="shared" si="106"/>
        <v>156300000</v>
      </c>
      <c r="M96" s="218">
        <f t="shared" si="106"/>
        <v>3100000</v>
      </c>
      <c r="N96" s="218">
        <f t="shared" si="106"/>
        <v>-8565554</v>
      </c>
      <c r="O96" s="218">
        <f t="shared" si="106"/>
        <v>0</v>
      </c>
      <c r="P96" s="218">
        <f t="shared" si="106"/>
        <v>156300000</v>
      </c>
      <c r="Q96" s="218">
        <f t="shared" si="106"/>
        <v>3100000</v>
      </c>
      <c r="R96" s="218">
        <f t="shared" si="106"/>
        <v>0</v>
      </c>
      <c r="S96" s="218">
        <f t="shared" si="106"/>
        <v>0</v>
      </c>
      <c r="T96" s="218">
        <f t="shared" si="106"/>
        <v>153200000</v>
      </c>
      <c r="U96" s="208"/>
      <c r="V96" s="208"/>
      <c r="W96" s="208"/>
      <c r="X96" s="208"/>
    </row>
    <row r="97" spans="1:24" x14ac:dyDescent="0.3">
      <c r="A97" s="111" t="s">
        <v>488</v>
      </c>
      <c r="B97" s="220" t="s">
        <v>487</v>
      </c>
      <c r="C97" s="219">
        <v>80000000</v>
      </c>
      <c r="D97" s="209">
        <f>SUMIFS(gastos!Q:Q,gastos!M:M,ejec_ICPA!B97,gastos!P:P,ejec_ICPA!A97)</f>
        <v>80000000</v>
      </c>
      <c r="E97" s="209">
        <f>SUMIFS(gastos!R:R,gastos!M:M,ejec_ICPA!B97,gastos!P:P,ejec_ICPA!A97)</f>
        <v>160000000</v>
      </c>
      <c r="F97" s="209">
        <f>SUMIFS(gastos!S:S,gastos!M:M,ejec_ICPA!B97,gastos!P:P,ejec_ICPA!A97)</f>
        <v>0</v>
      </c>
      <c r="G97" s="209">
        <f>SUMIFS(gastos!T:T,gastos!M:M,ejec_ICPA!B97,gastos!P:P,ejec_ICPA!A97)</f>
        <v>5000000</v>
      </c>
      <c r="H97" s="209">
        <f>SUMIFS(gastos!U:U,gastos!M:M,ejec_ICPA!B97,gastos!P:P,ejec_ICPA!A97)</f>
        <v>80000000</v>
      </c>
      <c r="I97" s="209">
        <f>D97+E97-F97+G97-H97</f>
        <v>165000000</v>
      </c>
      <c r="J97" s="209">
        <f>SUMIFS(gastos!W:W,gastos!M:M,ejec_ICPA!B97,gastos!P:P,ejec_ICPA!A97)</f>
        <v>156300000</v>
      </c>
      <c r="K97" s="209">
        <f>SUMIFS(gastos!X:X,gastos!$M:$M,ejec_ICPA!B97,gastos!$P:$P,ejec_ICPA!A97)</f>
        <v>156300000</v>
      </c>
      <c r="L97" s="209">
        <f>SUMIFS(gastos!$Z:$Z,gastos!$M:$M,ejec_ICPA!$B97,gastos!$P:$P,ejec_ICPA!$A97)</f>
        <v>156300000</v>
      </c>
      <c r="M97" s="209">
        <f>SUMIFS(gastos!$AE:$AE,gastos!$M:$M,ejec_ICPA!$B97,gastos!$P:$P,ejec_ICPA!$A97)</f>
        <v>3100000</v>
      </c>
      <c r="N97" s="209">
        <f>SUMIFS(gastos!AG:AG,gastos!$M:$M,ejec_ICPA!B97,gastos!$P:$P,ejec_ICPA!A97)</f>
        <v>-8565554</v>
      </c>
      <c r="O97" s="209">
        <f>SUMIFS(gastos!AH:AH,gastos!$M:$M,ejec_ICPA!$B97,gastos!$P:$P,ejec_ICPA!$A97)</f>
        <v>0</v>
      </c>
      <c r="P97" s="209">
        <f>SUMIFS(gastos!$AF:$AF,gastos!$M:$M,ejec_ICPA!$B97,gastos!$P:$P,ejec_ICPA!$A97)</f>
        <v>156300000</v>
      </c>
      <c r="Q97" s="209">
        <f>SUMIFS(gastos!AJ:AJ,gastos!$M:$M,ejec_ICPA!$B97,gastos!$P:$P,ejec_ICPA!$A97)</f>
        <v>3100000</v>
      </c>
      <c r="R97" s="209">
        <f>K97-L97</f>
        <v>0</v>
      </c>
      <c r="S97" s="209">
        <f>L97-J97</f>
        <v>0</v>
      </c>
      <c r="T97" s="209">
        <f>J97-M97</f>
        <v>153200000</v>
      </c>
    </row>
    <row r="98" spans="1:24" s="105" customFormat="1" x14ac:dyDescent="0.3">
      <c r="A98" s="113" t="s">
        <v>939</v>
      </c>
      <c r="B98" s="217" t="s">
        <v>486</v>
      </c>
      <c r="C98" s="218">
        <f>SUM(C99)</f>
        <v>0</v>
      </c>
      <c r="D98" s="218">
        <f>SUM(D99)</f>
        <v>0</v>
      </c>
      <c r="E98" s="218">
        <f t="shared" si="106"/>
        <v>0</v>
      </c>
      <c r="F98" s="218">
        <f t="shared" si="106"/>
        <v>0</v>
      </c>
      <c r="G98" s="218">
        <f>SUM(G99)</f>
        <v>17585210</v>
      </c>
      <c r="H98" s="218">
        <f t="shared" si="106"/>
        <v>0</v>
      </c>
      <c r="I98" s="218">
        <f t="shared" si="106"/>
        <v>17585210</v>
      </c>
      <c r="J98" s="218">
        <f t="shared" si="106"/>
        <v>8500000</v>
      </c>
      <c r="K98" s="218">
        <f t="shared" si="106"/>
        <v>8500000</v>
      </c>
      <c r="L98" s="218">
        <f t="shared" si="106"/>
        <v>8500000</v>
      </c>
      <c r="M98" s="218">
        <f t="shared" si="106"/>
        <v>2500000</v>
      </c>
      <c r="N98" s="218">
        <f t="shared" si="106"/>
        <v>-9085210</v>
      </c>
      <c r="O98" s="218">
        <f t="shared" si="106"/>
        <v>0</v>
      </c>
      <c r="P98" s="218">
        <f t="shared" si="106"/>
        <v>8500000</v>
      </c>
      <c r="Q98" s="218">
        <f t="shared" si="106"/>
        <v>2500000</v>
      </c>
      <c r="R98" s="218">
        <f t="shared" si="106"/>
        <v>0</v>
      </c>
      <c r="S98" s="218">
        <f t="shared" si="106"/>
        <v>0</v>
      </c>
      <c r="T98" s="218">
        <f t="shared" si="106"/>
        <v>6000000</v>
      </c>
      <c r="U98" s="208"/>
      <c r="V98" s="208"/>
      <c r="W98" s="208"/>
      <c r="X98" s="208"/>
    </row>
    <row r="99" spans="1:24" x14ac:dyDescent="0.3">
      <c r="A99" s="111" t="s">
        <v>932</v>
      </c>
      <c r="B99" s="220" t="s">
        <v>487</v>
      </c>
      <c r="C99" s="219">
        <v>0</v>
      </c>
      <c r="D99" s="209">
        <f>SUMIFS(gastos!Q:Q,gastos!M:M,ejec_ICPA!B99,gastos!P:P,ejec_ICPA!A99)</f>
        <v>0</v>
      </c>
      <c r="E99" s="209">
        <f>SUMIFS(gastos!R:R,gastos!M:M,ejec_ICPA!B99,gastos!P:P,ejec_ICPA!A99)</f>
        <v>0</v>
      </c>
      <c r="F99" s="209">
        <f>SUMIFS(gastos!S:S,gastos!M:M,ejec_ICPA!B99,gastos!P:P,ejec_ICPA!A99)</f>
        <v>0</v>
      </c>
      <c r="G99" s="209">
        <f>SUMIFS(gastos!T:T,gastos!M:M,ejec_ICPA!B99,gastos!P:P,ejec_ICPA!A99)</f>
        <v>17585210</v>
      </c>
      <c r="H99" s="209">
        <f>SUMIFS(gastos!U:U,gastos!M:M,ejec_ICPA!B99,gastos!P:P,ejec_ICPA!A99)</f>
        <v>0</v>
      </c>
      <c r="I99" s="209">
        <f>D99+E99-F99+G99-H99</f>
        <v>17585210</v>
      </c>
      <c r="J99" s="209">
        <f>SUMIFS(gastos!W:W,gastos!M:M,ejec_ICPA!B99,gastos!P:P,ejec_ICPA!A99)</f>
        <v>8500000</v>
      </c>
      <c r="K99" s="209">
        <f>SUMIFS(gastos!X:X,gastos!$M:$M,ejec_ICPA!B99,gastos!$P:$P,ejec_ICPA!A99)</f>
        <v>8500000</v>
      </c>
      <c r="L99" s="209">
        <f>SUMIFS(gastos!$Z:$Z,gastos!$M:$M,ejec_ICPA!$B99,gastos!$P:$P,ejec_ICPA!$A99)</f>
        <v>8500000</v>
      </c>
      <c r="M99" s="209">
        <f>SUMIFS(gastos!$AE:$AE,gastos!$M:$M,ejec_ICPA!$B99,gastos!$P:$P,ejec_ICPA!$A99)</f>
        <v>2500000</v>
      </c>
      <c r="N99" s="209">
        <f>SUMIFS(gastos!AG:AG,gastos!$M:$M,ejec_ICPA!B99,gastos!$P:$P,ejec_ICPA!A99)</f>
        <v>-9085210</v>
      </c>
      <c r="O99" s="209">
        <f>SUMIFS(gastos!AH:AH,gastos!$M:$M,ejec_ICPA!$B99,gastos!$P:$P,ejec_ICPA!$A99)</f>
        <v>0</v>
      </c>
      <c r="P99" s="209">
        <f>SUMIFS(gastos!$AF:$AF,gastos!$M:$M,ejec_ICPA!$B99,gastos!$P:$P,ejec_ICPA!$A99)</f>
        <v>8500000</v>
      </c>
      <c r="Q99" s="209">
        <f>SUMIFS(gastos!AJ:AJ,gastos!$M:$M,ejec_ICPA!$B99,gastos!$P:$P,ejec_ICPA!$A99)</f>
        <v>2500000</v>
      </c>
      <c r="R99" s="209">
        <f>K99-L99</f>
        <v>0</v>
      </c>
      <c r="S99" s="209">
        <f>L99-J99</f>
        <v>0</v>
      </c>
      <c r="T99" s="209">
        <f>J99-M99</f>
        <v>6000000</v>
      </c>
    </row>
    <row r="100" spans="1:24" s="105" customFormat="1" x14ac:dyDescent="0.3">
      <c r="A100" s="113" t="s">
        <v>685</v>
      </c>
      <c r="B100" s="212" t="s">
        <v>640</v>
      </c>
      <c r="C100" s="218">
        <f>C101</f>
        <v>327240984</v>
      </c>
      <c r="D100" s="218">
        <f t="shared" ref="D100:T100" si="107">D101</f>
        <v>327240984</v>
      </c>
      <c r="E100" s="218">
        <f t="shared" si="107"/>
        <v>716390670</v>
      </c>
      <c r="F100" s="218">
        <f t="shared" si="107"/>
        <v>0</v>
      </c>
      <c r="G100" s="218">
        <f t="shared" si="107"/>
        <v>209411733</v>
      </c>
      <c r="H100" s="218">
        <f t="shared" si="107"/>
        <v>311489726</v>
      </c>
      <c r="I100" s="218">
        <f t="shared" si="107"/>
        <v>941553661</v>
      </c>
      <c r="J100" s="218">
        <f t="shared" si="107"/>
        <v>893689882</v>
      </c>
      <c r="K100" s="218">
        <f t="shared" si="107"/>
        <v>893689882</v>
      </c>
      <c r="L100" s="218">
        <f t="shared" si="107"/>
        <v>893689882</v>
      </c>
      <c r="M100" s="218">
        <f t="shared" si="107"/>
        <v>823860682</v>
      </c>
      <c r="N100" s="218">
        <f t="shared" si="107"/>
        <v>-28035581</v>
      </c>
      <c r="O100" s="218">
        <f t="shared" si="107"/>
        <v>0</v>
      </c>
      <c r="P100" s="218">
        <f t="shared" si="107"/>
        <v>426504035</v>
      </c>
      <c r="Q100" s="218">
        <f t="shared" si="107"/>
        <v>356674835</v>
      </c>
      <c r="R100" s="218">
        <f t="shared" si="107"/>
        <v>0</v>
      </c>
      <c r="S100" s="218">
        <f t="shared" si="107"/>
        <v>0</v>
      </c>
      <c r="T100" s="218">
        <f t="shared" si="107"/>
        <v>69829200</v>
      </c>
      <c r="U100" s="208"/>
      <c r="V100" s="208"/>
      <c r="W100" s="208"/>
      <c r="X100" s="208"/>
    </row>
    <row r="101" spans="1:24" s="105" customFormat="1" x14ac:dyDescent="0.3">
      <c r="A101" s="113" t="s">
        <v>686</v>
      </c>
      <c r="B101" s="212" t="s">
        <v>641</v>
      </c>
      <c r="C101" s="218">
        <f>C102+C111</f>
        <v>327240984</v>
      </c>
      <c r="D101" s="218">
        <f t="shared" ref="D101:T101" si="108">D102+D111</f>
        <v>327240984</v>
      </c>
      <c r="E101" s="218">
        <f t="shared" si="108"/>
        <v>716390670</v>
      </c>
      <c r="F101" s="218">
        <f t="shared" si="108"/>
        <v>0</v>
      </c>
      <c r="G101" s="218">
        <f t="shared" si="108"/>
        <v>209411733</v>
      </c>
      <c r="H101" s="218">
        <f t="shared" si="108"/>
        <v>311489726</v>
      </c>
      <c r="I101" s="218">
        <f t="shared" si="108"/>
        <v>941553661</v>
      </c>
      <c r="J101" s="218">
        <f t="shared" si="108"/>
        <v>893689882</v>
      </c>
      <c r="K101" s="218">
        <f t="shared" si="108"/>
        <v>893689882</v>
      </c>
      <c r="L101" s="218">
        <f t="shared" si="108"/>
        <v>893689882</v>
      </c>
      <c r="M101" s="218">
        <f t="shared" si="108"/>
        <v>823860682</v>
      </c>
      <c r="N101" s="218">
        <f t="shared" si="108"/>
        <v>-28035581</v>
      </c>
      <c r="O101" s="218">
        <f t="shared" si="108"/>
        <v>0</v>
      </c>
      <c r="P101" s="218">
        <f t="shared" si="108"/>
        <v>426504035</v>
      </c>
      <c r="Q101" s="218">
        <f t="shared" si="108"/>
        <v>356674835</v>
      </c>
      <c r="R101" s="218">
        <f t="shared" si="108"/>
        <v>0</v>
      </c>
      <c r="S101" s="218">
        <f t="shared" si="108"/>
        <v>0</v>
      </c>
      <c r="T101" s="218">
        <f t="shared" si="108"/>
        <v>69829200</v>
      </c>
      <c r="U101" s="208"/>
      <c r="V101" s="208"/>
      <c r="W101" s="208"/>
      <c r="X101" s="208"/>
    </row>
    <row r="102" spans="1:24" s="105" customFormat="1" x14ac:dyDescent="0.3">
      <c r="A102" s="113" t="s">
        <v>687</v>
      </c>
      <c r="B102" s="212" t="s">
        <v>642</v>
      </c>
      <c r="C102" s="218">
        <f>C103</f>
        <v>207240984</v>
      </c>
      <c r="D102" s="218">
        <f t="shared" ref="D102:T103" si="109">D103</f>
        <v>207240984</v>
      </c>
      <c r="E102" s="218">
        <f t="shared" si="109"/>
        <v>575837720</v>
      </c>
      <c r="F102" s="218">
        <f t="shared" si="109"/>
        <v>0</v>
      </c>
      <c r="G102" s="218">
        <f t="shared" si="109"/>
        <v>0</v>
      </c>
      <c r="H102" s="218">
        <f t="shared" si="109"/>
        <v>129411733</v>
      </c>
      <c r="I102" s="218">
        <f t="shared" si="109"/>
        <v>653666971</v>
      </c>
      <c r="J102" s="218">
        <f t="shared" si="109"/>
        <v>620111400</v>
      </c>
      <c r="K102" s="218">
        <f t="shared" si="109"/>
        <v>620111400</v>
      </c>
      <c r="L102" s="218">
        <f t="shared" si="109"/>
        <v>620111400</v>
      </c>
      <c r="M102" s="218">
        <f t="shared" si="109"/>
        <v>550282200</v>
      </c>
      <c r="N102" s="218">
        <f t="shared" si="109"/>
        <v>-28035581</v>
      </c>
      <c r="O102" s="218">
        <f t="shared" si="109"/>
        <v>0</v>
      </c>
      <c r="P102" s="218">
        <f t="shared" si="109"/>
        <v>411600805</v>
      </c>
      <c r="Q102" s="218">
        <f t="shared" si="109"/>
        <v>341771605</v>
      </c>
      <c r="R102" s="218">
        <f t="shared" si="109"/>
        <v>0</v>
      </c>
      <c r="S102" s="218">
        <f t="shared" si="109"/>
        <v>0</v>
      </c>
      <c r="T102" s="218">
        <f t="shared" si="109"/>
        <v>69829200</v>
      </c>
      <c r="U102" s="208"/>
      <c r="V102" s="208"/>
      <c r="W102" s="208"/>
      <c r="X102" s="208"/>
    </row>
    <row r="103" spans="1:24" s="105" customFormat="1" x14ac:dyDescent="0.3">
      <c r="A103" s="113" t="s">
        <v>688</v>
      </c>
      <c r="B103" s="212" t="s">
        <v>643</v>
      </c>
      <c r="C103" s="218">
        <f>C104</f>
        <v>207240984</v>
      </c>
      <c r="D103" s="218">
        <f t="shared" si="109"/>
        <v>207240984</v>
      </c>
      <c r="E103" s="218">
        <f t="shared" si="109"/>
        <v>575837720</v>
      </c>
      <c r="F103" s="218">
        <f t="shared" si="109"/>
        <v>0</v>
      </c>
      <c r="G103" s="218">
        <f t="shared" si="109"/>
        <v>0</v>
      </c>
      <c r="H103" s="218">
        <f t="shared" si="109"/>
        <v>129411733</v>
      </c>
      <c r="I103" s="218">
        <f t="shared" si="109"/>
        <v>653666971</v>
      </c>
      <c r="J103" s="218">
        <f t="shared" si="109"/>
        <v>620111400</v>
      </c>
      <c r="K103" s="218">
        <f t="shared" si="109"/>
        <v>620111400</v>
      </c>
      <c r="L103" s="218">
        <f t="shared" si="109"/>
        <v>620111400</v>
      </c>
      <c r="M103" s="218">
        <f t="shared" si="109"/>
        <v>550282200</v>
      </c>
      <c r="N103" s="218">
        <f t="shared" si="109"/>
        <v>-28035581</v>
      </c>
      <c r="O103" s="218">
        <f t="shared" si="109"/>
        <v>0</v>
      </c>
      <c r="P103" s="218">
        <f t="shared" si="109"/>
        <v>411600805</v>
      </c>
      <c r="Q103" s="218">
        <f t="shared" si="109"/>
        <v>341771605</v>
      </c>
      <c r="R103" s="218">
        <f t="shared" si="109"/>
        <v>0</v>
      </c>
      <c r="S103" s="218">
        <f t="shared" si="109"/>
        <v>0</v>
      </c>
      <c r="T103" s="218">
        <f t="shared" si="109"/>
        <v>69829200</v>
      </c>
      <c r="U103" s="208"/>
      <c r="V103" s="208"/>
      <c r="W103" s="208"/>
      <c r="X103" s="208"/>
    </row>
    <row r="104" spans="1:24" s="105" customFormat="1" x14ac:dyDescent="0.3">
      <c r="A104" s="113" t="s">
        <v>689</v>
      </c>
      <c r="B104" s="212" t="s">
        <v>644</v>
      </c>
      <c r="C104" s="218">
        <f>C105+C107+C109</f>
        <v>207240984</v>
      </c>
      <c r="D104" s="218">
        <f t="shared" ref="D104:T104" si="110">D105+D107+D109</f>
        <v>207240984</v>
      </c>
      <c r="E104" s="218">
        <f t="shared" si="110"/>
        <v>575837720</v>
      </c>
      <c r="F104" s="218">
        <f t="shared" si="110"/>
        <v>0</v>
      </c>
      <c r="G104" s="218">
        <f t="shared" si="110"/>
        <v>0</v>
      </c>
      <c r="H104" s="218">
        <f t="shared" si="110"/>
        <v>129411733</v>
      </c>
      <c r="I104" s="218">
        <f t="shared" si="110"/>
        <v>653666971</v>
      </c>
      <c r="J104" s="218">
        <f t="shared" si="110"/>
        <v>620111400</v>
      </c>
      <c r="K104" s="218">
        <f t="shared" si="110"/>
        <v>620111400</v>
      </c>
      <c r="L104" s="218">
        <f t="shared" si="110"/>
        <v>620111400</v>
      </c>
      <c r="M104" s="218">
        <f t="shared" si="110"/>
        <v>550282200</v>
      </c>
      <c r="N104" s="218">
        <f t="shared" si="110"/>
        <v>-28035581</v>
      </c>
      <c r="O104" s="218">
        <f t="shared" si="110"/>
        <v>0</v>
      </c>
      <c r="P104" s="218">
        <f t="shared" si="110"/>
        <v>411600805</v>
      </c>
      <c r="Q104" s="218">
        <f t="shared" si="110"/>
        <v>341771605</v>
      </c>
      <c r="R104" s="218">
        <f t="shared" si="110"/>
        <v>0</v>
      </c>
      <c r="S104" s="218">
        <f t="shared" si="110"/>
        <v>0</v>
      </c>
      <c r="T104" s="218">
        <f t="shared" si="110"/>
        <v>69829200</v>
      </c>
      <c r="U104" s="208"/>
      <c r="V104" s="208"/>
      <c r="W104" s="208"/>
      <c r="X104" s="208"/>
    </row>
    <row r="105" spans="1:24" s="105" customFormat="1" x14ac:dyDescent="0.3">
      <c r="A105" s="113" t="s">
        <v>704</v>
      </c>
      <c r="B105" s="217" t="s">
        <v>479</v>
      </c>
      <c r="C105" s="218">
        <f>SUM(C106:C106)</f>
        <v>200000000</v>
      </c>
      <c r="D105" s="218">
        <f t="shared" ref="D105:T105" si="111">SUM(D106:D106)</f>
        <v>200000000</v>
      </c>
      <c r="E105" s="218">
        <f t="shared" si="111"/>
        <v>321603098</v>
      </c>
      <c r="F105" s="218">
        <f t="shared" si="111"/>
        <v>0</v>
      </c>
      <c r="G105" s="218">
        <f t="shared" si="111"/>
        <v>0</v>
      </c>
      <c r="H105" s="218">
        <f t="shared" si="111"/>
        <v>0</v>
      </c>
      <c r="I105" s="218">
        <f t="shared" si="111"/>
        <v>521603098</v>
      </c>
      <c r="J105" s="218">
        <f t="shared" si="111"/>
        <v>518511745</v>
      </c>
      <c r="K105" s="218">
        <f t="shared" si="111"/>
        <v>518511745</v>
      </c>
      <c r="L105" s="218">
        <f t="shared" si="111"/>
        <v>518511745</v>
      </c>
      <c r="M105" s="218">
        <f t="shared" si="111"/>
        <v>450423890</v>
      </c>
      <c r="N105" s="218">
        <f t="shared" si="111"/>
        <v>-3066126</v>
      </c>
      <c r="O105" s="218">
        <f t="shared" si="111"/>
        <v>0</v>
      </c>
      <c r="P105" s="218">
        <f t="shared" si="111"/>
        <v>409859460</v>
      </c>
      <c r="Q105" s="218">
        <f t="shared" si="111"/>
        <v>341771605</v>
      </c>
      <c r="R105" s="218">
        <f t="shared" si="111"/>
        <v>0</v>
      </c>
      <c r="S105" s="218">
        <f t="shared" si="111"/>
        <v>0</v>
      </c>
      <c r="T105" s="218">
        <f t="shared" si="111"/>
        <v>68087855</v>
      </c>
      <c r="U105" s="208"/>
      <c r="V105" s="208"/>
      <c r="W105" s="208"/>
      <c r="X105" s="208"/>
    </row>
    <row r="106" spans="1:24" x14ac:dyDescent="0.3">
      <c r="A106" s="111" t="s">
        <v>481</v>
      </c>
      <c r="B106" s="220" t="s">
        <v>480</v>
      </c>
      <c r="C106" s="219">
        <v>200000000</v>
      </c>
      <c r="D106" s="209">
        <f>SUMIFS(gastos!Q:Q,gastos!M:M,ejec_ICPA!B106,gastos!P:P,ejec_ICPA!A106)</f>
        <v>200000000</v>
      </c>
      <c r="E106" s="209">
        <f>SUMIFS(gastos!R:R,gastos!M:M,ejec_ICPA!B106,gastos!P:P,ejec_ICPA!A106)</f>
        <v>321603098</v>
      </c>
      <c r="F106" s="209">
        <f>SUMIFS(gastos!S:S,gastos!M:M,ejec_ICPA!B106,gastos!P:P,ejec_ICPA!A106)</f>
        <v>0</v>
      </c>
      <c r="G106" s="209">
        <f>SUMIFS(gastos!T:T,gastos!M:M,ejec_ICPA!B106,gastos!P:P,ejec_ICPA!A106)</f>
        <v>0</v>
      </c>
      <c r="H106" s="209">
        <f>SUMIFS(gastos!U:U,gastos!M:M,ejec_ICPA!B106,gastos!P:P,ejec_ICPA!A106)</f>
        <v>0</v>
      </c>
      <c r="I106" s="209">
        <f>D106+E106-F106+G106-H106</f>
        <v>521603098</v>
      </c>
      <c r="J106" s="209">
        <f>SUMIFS(gastos!W:W,gastos!M:M,ejec_ICPA!B106,gastos!P:P,ejec_ICPA!A106)</f>
        <v>518511745</v>
      </c>
      <c r="K106" s="209">
        <f>SUMIFS(gastos!X:X,gastos!$M:$M,ejec_ICPA!B106,gastos!$P:$P,ejec_ICPA!A106)</f>
        <v>518511745</v>
      </c>
      <c r="L106" s="209">
        <f>SUMIFS(gastos!$Z:$Z,gastos!$M:$M,ejec_ICPA!$B106,gastos!$P:$P,ejec_ICPA!$A106)</f>
        <v>518511745</v>
      </c>
      <c r="M106" s="209">
        <f>SUMIFS(gastos!$AE:$AE,gastos!$M:$M,ejec_ICPA!$B106,gastos!$P:$P,ejec_ICPA!$A106)</f>
        <v>450423890</v>
      </c>
      <c r="N106" s="209">
        <f>SUMIFS(gastos!AG:AG,gastos!$M:$M,ejec_ICPA!B106,gastos!$P:$P,ejec_ICPA!A106)</f>
        <v>-3066126</v>
      </c>
      <c r="O106" s="209">
        <f>SUMIFS(gastos!AH:AH,gastos!$M:$M,ejec_ICPA!$B106,gastos!$P:$P,ejec_ICPA!$A106)</f>
        <v>0</v>
      </c>
      <c r="P106" s="209">
        <f>SUMIFS(gastos!$AF:$AF,gastos!$M:$M,ejec_ICPA!$B106,gastos!$P:$P,ejec_ICPA!$A106)</f>
        <v>409859460</v>
      </c>
      <c r="Q106" s="209">
        <f>SUMIFS(gastos!AJ:AJ,gastos!$M:$M,ejec_ICPA!$B106,gastos!$P:$P,ejec_ICPA!$A106)</f>
        <v>341771605</v>
      </c>
      <c r="R106" s="209">
        <f>K106-L106</f>
        <v>0</v>
      </c>
      <c r="S106" s="209">
        <f>L106-J106</f>
        <v>0</v>
      </c>
      <c r="T106" s="209">
        <f>J106-M106</f>
        <v>68087855</v>
      </c>
    </row>
    <row r="107" spans="1:24" s="105" customFormat="1" x14ac:dyDescent="0.3">
      <c r="A107" s="113" t="s">
        <v>890</v>
      </c>
      <c r="B107" s="217" t="s">
        <v>479</v>
      </c>
      <c r="C107" s="218">
        <f>C108</f>
        <v>0</v>
      </c>
      <c r="D107" s="218">
        <f t="shared" ref="D107:T107" si="112">D108</f>
        <v>0</v>
      </c>
      <c r="E107" s="218">
        <f t="shared" si="112"/>
        <v>254234622</v>
      </c>
      <c r="F107" s="218">
        <f t="shared" si="112"/>
        <v>0</v>
      </c>
      <c r="G107" s="218">
        <f t="shared" si="112"/>
        <v>0</v>
      </c>
      <c r="H107" s="218">
        <f t="shared" si="112"/>
        <v>129411733</v>
      </c>
      <c r="I107" s="218">
        <f t="shared" si="112"/>
        <v>124822889</v>
      </c>
      <c r="J107" s="218">
        <f t="shared" si="112"/>
        <v>99858310</v>
      </c>
      <c r="K107" s="218">
        <f t="shared" si="112"/>
        <v>99858310</v>
      </c>
      <c r="L107" s="218">
        <f t="shared" si="112"/>
        <v>99858310</v>
      </c>
      <c r="M107" s="218">
        <f t="shared" si="112"/>
        <v>99858310</v>
      </c>
      <c r="N107" s="218">
        <f t="shared" si="112"/>
        <v>-24964579</v>
      </c>
      <c r="O107" s="218">
        <f t="shared" si="112"/>
        <v>0</v>
      </c>
      <c r="P107" s="218">
        <f t="shared" si="112"/>
        <v>0</v>
      </c>
      <c r="Q107" s="218">
        <f t="shared" si="112"/>
        <v>0</v>
      </c>
      <c r="R107" s="218">
        <f t="shared" si="112"/>
        <v>0</v>
      </c>
      <c r="S107" s="218">
        <f t="shared" si="112"/>
        <v>0</v>
      </c>
      <c r="T107" s="218">
        <f t="shared" si="112"/>
        <v>0</v>
      </c>
      <c r="U107" s="208"/>
      <c r="V107" s="208"/>
      <c r="W107" s="208"/>
      <c r="X107" s="208"/>
    </row>
    <row r="108" spans="1:24" x14ac:dyDescent="0.3">
      <c r="A108" s="111" t="s">
        <v>852</v>
      </c>
      <c r="B108" s="111" t="s">
        <v>480</v>
      </c>
      <c r="C108" s="219">
        <v>0</v>
      </c>
      <c r="D108" s="209">
        <f>SUMIFS(gastos!Q:Q,gastos!M:M,ejec_ICPA!B108,gastos!P:P,ejec_ICPA!A108)</f>
        <v>0</v>
      </c>
      <c r="E108" s="209">
        <f>SUMIFS(gastos!R:R,gastos!M:M,ejec_ICPA!B108,gastos!P:P,ejec_ICPA!A108)</f>
        <v>254234622</v>
      </c>
      <c r="F108" s="209">
        <f>SUMIFS(gastos!S:S,gastos!M:M,ejec_ICPA!B108,gastos!P:P,ejec_ICPA!A108)</f>
        <v>0</v>
      </c>
      <c r="G108" s="209">
        <f>SUMIFS(gastos!T:T,gastos!M:M,ejec_ICPA!B108,gastos!P:P,ejec_ICPA!A108)</f>
        <v>0</v>
      </c>
      <c r="H108" s="209">
        <f>SUMIFS(gastos!U:U,gastos!M:M,ejec_ICPA!B108,gastos!P:P,ejec_ICPA!A108)</f>
        <v>129411733</v>
      </c>
      <c r="I108" s="209">
        <f>D108+E108-F108+G108-H108</f>
        <v>124822889</v>
      </c>
      <c r="J108" s="209">
        <f>SUMIFS(gastos!W:W,gastos!M:M,ejec_ICPA!B108,gastos!P:P,ejec_ICPA!A108)</f>
        <v>99858310</v>
      </c>
      <c r="K108" s="209">
        <f>SUMIFS(gastos!X:X,gastos!$M:$M,ejec_ICPA!B108,gastos!$P:$P,ejec_ICPA!A108)</f>
        <v>99858310</v>
      </c>
      <c r="L108" s="209">
        <f>SUMIFS(gastos!$Z:$Z,gastos!$M:$M,ejec_ICPA!$B108,gastos!$P:$P,ejec_ICPA!$A108)</f>
        <v>99858310</v>
      </c>
      <c r="M108" s="209">
        <f>SUMIFS(gastos!$AE:$AE,gastos!$M:$M,ejec_ICPA!$B108,gastos!$P:$P,ejec_ICPA!$A108)</f>
        <v>99858310</v>
      </c>
      <c r="N108" s="209">
        <f>SUMIFS(gastos!AG:AG,gastos!$M:$M,ejec_ICPA!B108,gastos!$P:$P,ejec_ICPA!A108)</f>
        <v>-24964579</v>
      </c>
      <c r="O108" s="209">
        <f>SUMIFS(gastos!AH:AH,gastos!$M:$M,ejec_ICPA!$B108,gastos!$P:$P,ejec_ICPA!$A108)</f>
        <v>0</v>
      </c>
      <c r="P108" s="209">
        <f>SUMIFS(gastos!$AF:$AF,gastos!$M:$M,ejec_ICPA!$B108,gastos!$P:$P,ejec_ICPA!$A108)</f>
        <v>0</v>
      </c>
      <c r="Q108" s="209">
        <f>SUMIFS(gastos!AJ:AJ,gastos!$M:$M,ejec_ICPA!$B108,gastos!$P:$P,ejec_ICPA!$A108)</f>
        <v>0</v>
      </c>
      <c r="R108" s="209">
        <f>K108-L108</f>
        <v>0</v>
      </c>
      <c r="S108" s="209">
        <f>L108-J108</f>
        <v>0</v>
      </c>
      <c r="T108" s="209">
        <f>J108-M108</f>
        <v>0</v>
      </c>
    </row>
    <row r="109" spans="1:24" s="105" customFormat="1" x14ac:dyDescent="0.3">
      <c r="A109" s="113" t="s">
        <v>705</v>
      </c>
      <c r="B109" s="217" t="s">
        <v>479</v>
      </c>
      <c r="C109" s="218">
        <f>SUM(C110)</f>
        <v>7240984</v>
      </c>
      <c r="D109" s="218">
        <f t="shared" ref="D109:T109" si="113">SUM(D110)</f>
        <v>7240984</v>
      </c>
      <c r="E109" s="218">
        <f t="shared" si="113"/>
        <v>0</v>
      </c>
      <c r="F109" s="218">
        <f t="shared" si="113"/>
        <v>0</v>
      </c>
      <c r="G109" s="218">
        <f t="shared" si="113"/>
        <v>0</v>
      </c>
      <c r="H109" s="218">
        <f t="shared" si="113"/>
        <v>0</v>
      </c>
      <c r="I109" s="218">
        <f t="shared" si="113"/>
        <v>7240984</v>
      </c>
      <c r="J109" s="218">
        <f t="shared" si="113"/>
        <v>1741345</v>
      </c>
      <c r="K109" s="218">
        <f t="shared" si="113"/>
        <v>1741345</v>
      </c>
      <c r="L109" s="218">
        <f t="shared" si="113"/>
        <v>1741345</v>
      </c>
      <c r="M109" s="218">
        <f t="shared" si="113"/>
        <v>0</v>
      </c>
      <c r="N109" s="218">
        <f t="shared" si="113"/>
        <v>-4876</v>
      </c>
      <c r="O109" s="218">
        <f t="shared" si="113"/>
        <v>0</v>
      </c>
      <c r="P109" s="218">
        <f t="shared" si="113"/>
        <v>1741345</v>
      </c>
      <c r="Q109" s="218">
        <f t="shared" si="113"/>
        <v>0</v>
      </c>
      <c r="R109" s="218">
        <f t="shared" si="113"/>
        <v>0</v>
      </c>
      <c r="S109" s="218">
        <f t="shared" si="113"/>
        <v>0</v>
      </c>
      <c r="T109" s="218">
        <f t="shared" si="113"/>
        <v>1741345</v>
      </c>
      <c r="U109" s="208"/>
      <c r="V109" s="208"/>
      <c r="W109" s="208"/>
      <c r="X109" s="208"/>
    </row>
    <row r="110" spans="1:24" x14ac:dyDescent="0.3">
      <c r="A110" s="111" t="s">
        <v>494</v>
      </c>
      <c r="B110" s="220" t="s">
        <v>480</v>
      </c>
      <c r="C110" s="215">
        <v>7240984</v>
      </c>
      <c r="D110" s="209">
        <f>SUMIFS(gastos!Q:Q,gastos!M:M,ejec_ICPA!B110,gastos!P:P,ejec_ICPA!A110)</f>
        <v>7240984</v>
      </c>
      <c r="E110" s="209">
        <f>SUMIFS(gastos!R:R,gastos!M:M,ejec_ICPA!B110,gastos!P:P,ejec_ICPA!A110)</f>
        <v>0</v>
      </c>
      <c r="F110" s="209">
        <f>SUMIFS(gastos!S:S,gastos!M:M,ejec_ICPA!B110,gastos!P:P,ejec_ICPA!A110)</f>
        <v>0</v>
      </c>
      <c r="G110" s="209">
        <f>SUMIFS(gastos!T:T,gastos!M:M,ejec_ICPA!B110,gastos!P:P,ejec_ICPA!A110)</f>
        <v>0</v>
      </c>
      <c r="H110" s="209">
        <f>SUMIFS(gastos!U:U,gastos!M:M,ejec_ICPA!B110,gastos!P:P,ejec_ICPA!A110)</f>
        <v>0</v>
      </c>
      <c r="I110" s="209">
        <f>D110+E110-F110+G110-H110</f>
        <v>7240984</v>
      </c>
      <c r="J110" s="209">
        <f>SUMIFS(gastos!W:W,gastos!M:M,ejec_ICPA!B110,gastos!P:P,ejec_ICPA!A110)</f>
        <v>1741345</v>
      </c>
      <c r="K110" s="209">
        <f>SUMIFS(gastos!X:X,gastos!$M:$M,ejec_ICPA!B110,gastos!$P:$P,ejec_ICPA!A110)</f>
        <v>1741345</v>
      </c>
      <c r="L110" s="209">
        <f>SUMIFS(gastos!$Z:$Z,gastos!$M:$M,ejec_ICPA!$B110,gastos!$P:$P,ejec_ICPA!$A110)</f>
        <v>1741345</v>
      </c>
      <c r="M110" s="209">
        <f>SUMIFS(gastos!$AE:$AE,gastos!$M:$M,ejec_ICPA!$B110,gastos!$P:$P,ejec_ICPA!$A110)</f>
        <v>0</v>
      </c>
      <c r="N110" s="209">
        <f>SUMIFS(gastos!AG:AG,gastos!$M:$M,ejec_ICPA!B110,gastos!$P:$P,ejec_ICPA!A110)</f>
        <v>-4876</v>
      </c>
      <c r="O110" s="209">
        <f>SUMIFS(gastos!AH:AH,gastos!$M:$M,ejec_ICPA!$B110,gastos!$P:$P,ejec_ICPA!$A110)</f>
        <v>0</v>
      </c>
      <c r="P110" s="209">
        <f>SUMIFS(gastos!$AF:$AF,gastos!$M:$M,ejec_ICPA!$B110,gastos!$P:$P,ejec_ICPA!$A110)</f>
        <v>1741345</v>
      </c>
      <c r="Q110" s="209">
        <f>SUMIFS(gastos!AJ:AJ,gastos!$M:$M,ejec_ICPA!$B110,gastos!$P:$P,ejec_ICPA!$A110)</f>
        <v>0</v>
      </c>
      <c r="R110" s="209">
        <f>K110-L110</f>
        <v>0</v>
      </c>
      <c r="S110" s="209">
        <f>L110-J110</f>
        <v>0</v>
      </c>
      <c r="T110" s="209">
        <f>J110-M110</f>
        <v>1741345</v>
      </c>
    </row>
    <row r="111" spans="1:24" s="105" customFormat="1" x14ac:dyDescent="0.3">
      <c r="A111" s="113" t="s">
        <v>690</v>
      </c>
      <c r="B111" s="212" t="s">
        <v>645</v>
      </c>
      <c r="C111" s="218">
        <f>C112+C114</f>
        <v>120000000</v>
      </c>
      <c r="D111" s="218">
        <f t="shared" ref="D111:T111" si="114">D112+D114</f>
        <v>120000000</v>
      </c>
      <c r="E111" s="218">
        <f t="shared" si="114"/>
        <v>140552950</v>
      </c>
      <c r="F111" s="218">
        <f t="shared" si="114"/>
        <v>0</v>
      </c>
      <c r="G111" s="218">
        <f t="shared" si="114"/>
        <v>209411733</v>
      </c>
      <c r="H111" s="218">
        <f t="shared" si="114"/>
        <v>182077993</v>
      </c>
      <c r="I111" s="218">
        <f t="shared" si="114"/>
        <v>287886690</v>
      </c>
      <c r="J111" s="218">
        <f t="shared" si="114"/>
        <v>273578482</v>
      </c>
      <c r="K111" s="218">
        <f t="shared" si="114"/>
        <v>273578482</v>
      </c>
      <c r="L111" s="218">
        <f t="shared" si="114"/>
        <v>273578482</v>
      </c>
      <c r="M111" s="218">
        <f t="shared" si="114"/>
        <v>273578482</v>
      </c>
      <c r="N111" s="218">
        <f t="shared" si="114"/>
        <v>0</v>
      </c>
      <c r="O111" s="218">
        <f t="shared" si="114"/>
        <v>0</v>
      </c>
      <c r="P111" s="218">
        <f t="shared" si="114"/>
        <v>14903230</v>
      </c>
      <c r="Q111" s="218">
        <f t="shared" si="114"/>
        <v>14903230</v>
      </c>
      <c r="R111" s="218">
        <f t="shared" si="114"/>
        <v>0</v>
      </c>
      <c r="S111" s="218">
        <f t="shared" si="114"/>
        <v>0</v>
      </c>
      <c r="T111" s="218">
        <f t="shared" si="114"/>
        <v>0</v>
      </c>
      <c r="U111" s="208"/>
      <c r="V111" s="208"/>
      <c r="W111" s="208"/>
      <c r="X111" s="208"/>
    </row>
    <row r="112" spans="1:24" s="105" customFormat="1" x14ac:dyDescent="0.3">
      <c r="A112" s="113" t="s">
        <v>706</v>
      </c>
      <c r="B112" s="217" t="s">
        <v>486</v>
      </c>
      <c r="C112" s="218">
        <f>SUM(C113:C113)</f>
        <v>120000000</v>
      </c>
      <c r="D112" s="218">
        <f t="shared" ref="D112:T112" si="115">SUM(D113:D113)</f>
        <v>120000000</v>
      </c>
      <c r="E112" s="218">
        <f t="shared" si="115"/>
        <v>0</v>
      </c>
      <c r="F112" s="218">
        <f t="shared" si="115"/>
        <v>0</v>
      </c>
      <c r="G112" s="218">
        <f t="shared" si="115"/>
        <v>80000000</v>
      </c>
      <c r="H112" s="218">
        <f t="shared" si="115"/>
        <v>120000000</v>
      </c>
      <c r="I112" s="218">
        <f t="shared" si="115"/>
        <v>80000000</v>
      </c>
      <c r="J112" s="218">
        <f t="shared" si="115"/>
        <v>75691792</v>
      </c>
      <c r="K112" s="218">
        <f t="shared" si="115"/>
        <v>75691792</v>
      </c>
      <c r="L112" s="218">
        <f t="shared" si="115"/>
        <v>75691792</v>
      </c>
      <c r="M112" s="218">
        <f t="shared" si="115"/>
        <v>75691792</v>
      </c>
      <c r="N112" s="218">
        <f t="shared" si="115"/>
        <v>0</v>
      </c>
      <c r="O112" s="218">
        <f t="shared" si="115"/>
        <v>0</v>
      </c>
      <c r="P112" s="218">
        <f t="shared" si="115"/>
        <v>0</v>
      </c>
      <c r="Q112" s="218">
        <f t="shared" si="115"/>
        <v>0</v>
      </c>
      <c r="R112" s="218">
        <f t="shared" si="115"/>
        <v>0</v>
      </c>
      <c r="S112" s="218">
        <f t="shared" si="115"/>
        <v>0</v>
      </c>
      <c r="T112" s="218">
        <f t="shared" si="115"/>
        <v>0</v>
      </c>
      <c r="U112" s="208"/>
      <c r="V112" s="208"/>
      <c r="W112" s="208"/>
      <c r="X112" s="208"/>
    </row>
    <row r="113" spans="1:24" x14ac:dyDescent="0.3">
      <c r="A113" s="111" t="s">
        <v>491</v>
      </c>
      <c r="B113" s="220" t="s">
        <v>490</v>
      </c>
      <c r="C113" s="219">
        <v>120000000</v>
      </c>
      <c r="D113" s="209">
        <f>SUMIFS(gastos!Q:Q,gastos!M:M,ejec_ICPA!B113,gastos!P:P,ejec_ICPA!A113)</f>
        <v>120000000</v>
      </c>
      <c r="E113" s="209">
        <f>SUMIFS(gastos!R:R,gastos!M:M,ejec_ICPA!B113,gastos!P:P,ejec_ICPA!A113)</f>
        <v>0</v>
      </c>
      <c r="F113" s="209">
        <f>SUMIFS(gastos!S:S,gastos!M:M,ejec_ICPA!B113,gastos!P:P,ejec_ICPA!A113)</f>
        <v>0</v>
      </c>
      <c r="G113" s="209">
        <f>SUMIFS(gastos!T:T,gastos!M:M,ejec_ICPA!B113,gastos!P:P,ejec_ICPA!A113)</f>
        <v>80000000</v>
      </c>
      <c r="H113" s="209">
        <f>SUMIFS(gastos!U:U,gastos!M:M,ejec_ICPA!B113,gastos!P:P,ejec_ICPA!A113)</f>
        <v>120000000</v>
      </c>
      <c r="I113" s="209">
        <f>D113+E113-F113+G113-H113</f>
        <v>80000000</v>
      </c>
      <c r="J113" s="209">
        <f>SUMIFS(gastos!W:W,gastos!M:M,ejec_ICPA!B113,gastos!P:P,ejec_ICPA!A113)</f>
        <v>75691792</v>
      </c>
      <c r="K113" s="209">
        <f>SUMIFS(gastos!X:X,gastos!$M:$M,ejec_ICPA!B113,gastos!$P:$P,ejec_ICPA!A113)</f>
        <v>75691792</v>
      </c>
      <c r="L113" s="209">
        <f>SUMIFS(gastos!$Z:$Z,gastos!$M:$M,ejec_ICPA!$B113,gastos!$P:$P,ejec_ICPA!$A113)</f>
        <v>75691792</v>
      </c>
      <c r="M113" s="209">
        <f>SUMIFS(gastos!$AE:$AE,gastos!$M:$M,ejec_ICPA!$B113,gastos!$P:$P,ejec_ICPA!$A113)</f>
        <v>75691792</v>
      </c>
      <c r="N113" s="209">
        <f>SUMIFS(gastos!AG:AG,gastos!$M:$M,ejec_ICPA!B113,gastos!$P:$P,ejec_ICPA!A113)</f>
        <v>0</v>
      </c>
      <c r="O113" s="209">
        <f>SUMIFS(gastos!AH:AH,gastos!$M:$M,ejec_ICPA!$B113,gastos!$P:$P,ejec_ICPA!$A113)</f>
        <v>0</v>
      </c>
      <c r="P113" s="209">
        <f>SUMIFS(gastos!$AF:$AF,gastos!$M:$M,ejec_ICPA!$B113,gastos!$P:$P,ejec_ICPA!$A113)</f>
        <v>0</v>
      </c>
      <c r="Q113" s="209">
        <f>SUMIFS(gastos!AJ:AJ,gastos!$M:$M,ejec_ICPA!$B113,gastos!$P:$P,ejec_ICPA!$A113)</f>
        <v>0</v>
      </c>
      <c r="R113" s="209">
        <f>K113-L113</f>
        <v>0</v>
      </c>
      <c r="S113" s="209">
        <f>L113-J113</f>
        <v>0</v>
      </c>
      <c r="T113" s="209">
        <f>J113-M113</f>
        <v>0</v>
      </c>
    </row>
    <row r="114" spans="1:24" s="105" customFormat="1" x14ac:dyDescent="0.3">
      <c r="A114" s="113" t="s">
        <v>891</v>
      </c>
      <c r="B114" s="217" t="s">
        <v>486</v>
      </c>
      <c r="C114" s="218">
        <f>C115</f>
        <v>0</v>
      </c>
      <c r="D114" s="218">
        <f t="shared" ref="D114:T114" si="116">D115</f>
        <v>0</v>
      </c>
      <c r="E114" s="218">
        <f t="shared" si="116"/>
        <v>140552950</v>
      </c>
      <c r="F114" s="218">
        <f t="shared" si="116"/>
        <v>0</v>
      </c>
      <c r="G114" s="218">
        <f t="shared" si="116"/>
        <v>129411733</v>
      </c>
      <c r="H114" s="218">
        <f t="shared" si="116"/>
        <v>62077993</v>
      </c>
      <c r="I114" s="218">
        <f t="shared" si="116"/>
        <v>207886690</v>
      </c>
      <c r="J114" s="218">
        <f t="shared" si="116"/>
        <v>197886690</v>
      </c>
      <c r="K114" s="218">
        <f t="shared" si="116"/>
        <v>197886690</v>
      </c>
      <c r="L114" s="218">
        <f t="shared" si="116"/>
        <v>197886690</v>
      </c>
      <c r="M114" s="218">
        <f t="shared" si="116"/>
        <v>197886690</v>
      </c>
      <c r="N114" s="218">
        <f t="shared" si="116"/>
        <v>0</v>
      </c>
      <c r="O114" s="218">
        <f t="shared" si="116"/>
        <v>0</v>
      </c>
      <c r="P114" s="218">
        <f t="shared" si="116"/>
        <v>14903230</v>
      </c>
      <c r="Q114" s="218">
        <f t="shared" si="116"/>
        <v>14903230</v>
      </c>
      <c r="R114" s="218">
        <f t="shared" si="116"/>
        <v>0</v>
      </c>
      <c r="S114" s="218">
        <f t="shared" si="116"/>
        <v>0</v>
      </c>
      <c r="T114" s="218">
        <f t="shared" si="116"/>
        <v>0</v>
      </c>
      <c r="U114" s="208"/>
      <c r="V114" s="208"/>
      <c r="W114" s="208"/>
      <c r="X114" s="208"/>
    </row>
    <row r="115" spans="1:24" x14ac:dyDescent="0.3">
      <c r="A115" s="111" t="s">
        <v>853</v>
      </c>
      <c r="B115" s="111" t="s">
        <v>490</v>
      </c>
      <c r="C115" s="219">
        <v>0</v>
      </c>
      <c r="D115" s="209">
        <f>SUMIFS(gastos!Q:Q,gastos!M:M,ejec_ICPA!B115,gastos!P:P,ejec_ICPA!A115)</f>
        <v>0</v>
      </c>
      <c r="E115" s="209">
        <f>SUMIFS(gastos!R:R,gastos!M:M,ejec_ICPA!B115,gastos!P:P,ejec_ICPA!A115)</f>
        <v>140552950</v>
      </c>
      <c r="F115" s="209">
        <f>SUMIFS(gastos!S:S,gastos!M:M,ejec_ICPA!B115,gastos!P:P,ejec_ICPA!A115)</f>
        <v>0</v>
      </c>
      <c r="G115" s="209">
        <f>SUMIFS(gastos!T:T,gastos!M:M,ejec_ICPA!B115,gastos!P:P,ejec_ICPA!A115)</f>
        <v>129411733</v>
      </c>
      <c r="H115" s="209">
        <f>SUMIFS(gastos!U:U,gastos!M:M,ejec_ICPA!B115,gastos!P:P,ejec_ICPA!A115)</f>
        <v>62077993</v>
      </c>
      <c r="I115" s="209">
        <f>D115+E115-F115+G115-H115</f>
        <v>207886690</v>
      </c>
      <c r="J115" s="209">
        <f>SUMIFS(gastos!W:W,gastos!M:M,ejec_ICPA!B115,gastos!P:P,ejec_ICPA!A115)</f>
        <v>197886690</v>
      </c>
      <c r="K115" s="209">
        <f>SUMIFS(gastos!X:X,gastos!$M:$M,ejec_ICPA!B115,gastos!$P:$P,ejec_ICPA!A115)</f>
        <v>197886690</v>
      </c>
      <c r="L115" s="209">
        <f>SUMIFS(gastos!$Z:$Z,gastos!$M:$M,ejec_ICPA!$B115,gastos!$P:$P,ejec_ICPA!$A115)</f>
        <v>197886690</v>
      </c>
      <c r="M115" s="209">
        <f>SUMIFS(gastos!$AE:$AE,gastos!$M:$M,ejec_ICPA!$B115,gastos!$P:$P,ejec_ICPA!$A115)</f>
        <v>197886690</v>
      </c>
      <c r="N115" s="209">
        <f>SUMIFS(gastos!AG:AG,gastos!$M:$M,ejec_ICPA!B115,gastos!$P:$P,ejec_ICPA!A115)</f>
        <v>0</v>
      </c>
      <c r="O115" s="209">
        <f>SUMIFS(gastos!AH:AH,gastos!$M:$M,ejec_ICPA!$B115,gastos!$P:$P,ejec_ICPA!$A115)</f>
        <v>0</v>
      </c>
      <c r="P115" s="209">
        <f>SUMIFS(gastos!$AF:$AF,gastos!$M:$M,ejec_ICPA!$B115,gastos!$P:$P,ejec_ICPA!$A115)</f>
        <v>14903230</v>
      </c>
      <c r="Q115" s="209">
        <f>SUMIFS(gastos!AJ:AJ,gastos!$M:$M,ejec_ICPA!$B115,gastos!$P:$P,ejec_ICPA!$A115)</f>
        <v>14903230</v>
      </c>
      <c r="R115" s="209">
        <f>K115-L115</f>
        <v>0</v>
      </c>
      <c r="S115" s="209">
        <f>L115-J115</f>
        <v>0</v>
      </c>
      <c r="T115" s="209">
        <f>J115-M115</f>
        <v>0</v>
      </c>
    </row>
    <row r="116" spans="1:24" s="105" customFormat="1" x14ac:dyDescent="0.3">
      <c r="A116" s="113" t="s">
        <v>691</v>
      </c>
      <c r="B116" s="212" t="s">
        <v>607</v>
      </c>
      <c r="C116" s="218">
        <f>C117+C128</f>
        <v>6700011063</v>
      </c>
      <c r="D116" s="218">
        <f t="shared" ref="D116:T116" si="117">D117+D128</f>
        <v>6700011063</v>
      </c>
      <c r="E116" s="218">
        <f t="shared" si="117"/>
        <v>8768342660</v>
      </c>
      <c r="F116" s="218">
        <f t="shared" si="117"/>
        <v>701874892</v>
      </c>
      <c r="G116" s="218">
        <f t="shared" si="117"/>
        <v>2679439403</v>
      </c>
      <c r="H116" s="218">
        <f t="shared" si="117"/>
        <v>2479781767</v>
      </c>
      <c r="I116" s="218">
        <f t="shared" si="117"/>
        <v>14966136467</v>
      </c>
      <c r="J116" s="218">
        <f t="shared" si="117"/>
        <v>11004836600</v>
      </c>
      <c r="K116" s="218">
        <f t="shared" si="117"/>
        <v>11004836600</v>
      </c>
      <c r="L116" s="218">
        <f t="shared" si="117"/>
        <v>11004836600</v>
      </c>
      <c r="M116" s="218">
        <f t="shared" si="117"/>
        <v>10148239117</v>
      </c>
      <c r="N116" s="218">
        <f t="shared" si="117"/>
        <v>-614669382</v>
      </c>
      <c r="O116" s="218">
        <f t="shared" si="117"/>
        <v>0</v>
      </c>
      <c r="P116" s="218">
        <f t="shared" si="117"/>
        <v>4520215220</v>
      </c>
      <c r="Q116" s="218">
        <f t="shared" si="117"/>
        <v>3659117737</v>
      </c>
      <c r="R116" s="218">
        <f t="shared" si="117"/>
        <v>0</v>
      </c>
      <c r="S116" s="218">
        <f t="shared" si="117"/>
        <v>0</v>
      </c>
      <c r="T116" s="218">
        <f t="shared" si="117"/>
        <v>856597483</v>
      </c>
      <c r="U116" s="208"/>
      <c r="V116" s="208"/>
      <c r="W116" s="208"/>
      <c r="X116" s="208"/>
    </row>
    <row r="117" spans="1:24" s="105" customFormat="1" x14ac:dyDescent="0.3">
      <c r="A117" s="104">
        <v>2320201</v>
      </c>
      <c r="B117" s="547" t="s">
        <v>73</v>
      </c>
      <c r="C117" s="218">
        <f>C118+C123</f>
        <v>0</v>
      </c>
      <c r="D117" s="218">
        <f t="shared" ref="D117:T117" si="118">D118+D123</f>
        <v>0</v>
      </c>
      <c r="E117" s="218">
        <f t="shared" si="118"/>
        <v>0</v>
      </c>
      <c r="F117" s="218">
        <f t="shared" si="118"/>
        <v>0</v>
      </c>
      <c r="G117" s="218">
        <f t="shared" si="118"/>
        <v>81432137</v>
      </c>
      <c r="H117" s="218">
        <f t="shared" si="118"/>
        <v>0</v>
      </c>
      <c r="I117" s="218">
        <f t="shared" si="118"/>
        <v>81432137</v>
      </c>
      <c r="J117" s="218">
        <f t="shared" si="118"/>
        <v>38431717</v>
      </c>
      <c r="K117" s="218">
        <f t="shared" si="118"/>
        <v>38431717</v>
      </c>
      <c r="L117" s="218">
        <f t="shared" si="118"/>
        <v>38431717</v>
      </c>
      <c r="M117" s="218">
        <f t="shared" si="118"/>
        <v>4374000</v>
      </c>
      <c r="N117" s="218">
        <f t="shared" si="118"/>
        <v>-40431025</v>
      </c>
      <c r="O117" s="218">
        <f t="shared" si="118"/>
        <v>0</v>
      </c>
      <c r="P117" s="218">
        <f t="shared" si="118"/>
        <v>38431717</v>
      </c>
      <c r="Q117" s="218">
        <f t="shared" si="118"/>
        <v>4374000</v>
      </c>
      <c r="R117" s="218">
        <f t="shared" si="118"/>
        <v>0</v>
      </c>
      <c r="S117" s="218">
        <f t="shared" si="118"/>
        <v>0</v>
      </c>
      <c r="T117" s="218">
        <f t="shared" si="118"/>
        <v>34057717</v>
      </c>
      <c r="U117" s="208"/>
      <c r="V117" s="208"/>
      <c r="W117" s="208"/>
      <c r="X117" s="208"/>
    </row>
    <row r="118" spans="1:24" s="105" customFormat="1" x14ac:dyDescent="0.3">
      <c r="A118" s="104">
        <v>2320201002</v>
      </c>
      <c r="B118" s="548" t="s">
        <v>882</v>
      </c>
      <c r="C118" s="218">
        <f>C119+C121</f>
        <v>0</v>
      </c>
      <c r="D118" s="218">
        <f t="shared" ref="D118:T118" si="119">D119+D121</f>
        <v>0</v>
      </c>
      <c r="E118" s="218">
        <f t="shared" si="119"/>
        <v>0</v>
      </c>
      <c r="F118" s="218">
        <f t="shared" si="119"/>
        <v>0</v>
      </c>
      <c r="G118" s="218">
        <f t="shared" si="119"/>
        <v>61872667</v>
      </c>
      <c r="H118" s="218">
        <f t="shared" si="119"/>
        <v>0</v>
      </c>
      <c r="I118" s="218">
        <f t="shared" si="119"/>
        <v>61872667</v>
      </c>
      <c r="J118" s="218">
        <f t="shared" si="119"/>
        <v>35386863</v>
      </c>
      <c r="K118" s="218">
        <f t="shared" si="119"/>
        <v>35386863</v>
      </c>
      <c r="L118" s="218">
        <f t="shared" si="119"/>
        <v>35386863</v>
      </c>
      <c r="M118" s="218">
        <f t="shared" si="119"/>
        <v>4374000</v>
      </c>
      <c r="N118" s="218">
        <f t="shared" si="119"/>
        <v>-23927076</v>
      </c>
      <c r="O118" s="218">
        <f t="shared" si="119"/>
        <v>0</v>
      </c>
      <c r="P118" s="218">
        <f t="shared" si="119"/>
        <v>35386863</v>
      </c>
      <c r="Q118" s="218">
        <f t="shared" si="119"/>
        <v>4374000</v>
      </c>
      <c r="R118" s="218">
        <f t="shared" si="119"/>
        <v>0</v>
      </c>
      <c r="S118" s="218">
        <f t="shared" si="119"/>
        <v>0</v>
      </c>
      <c r="T118" s="218">
        <f t="shared" si="119"/>
        <v>31012863</v>
      </c>
      <c r="U118" s="208"/>
      <c r="V118" s="208"/>
      <c r="W118" s="208"/>
      <c r="X118" s="208"/>
    </row>
    <row r="119" spans="1:24" s="105" customFormat="1" x14ac:dyDescent="0.3">
      <c r="A119" s="113" t="s">
        <v>898</v>
      </c>
      <c r="B119" s="217" t="s">
        <v>486</v>
      </c>
      <c r="C119" s="218">
        <f>SUM(C120)</f>
        <v>0</v>
      </c>
      <c r="D119" s="218">
        <f t="shared" ref="D119:T119" si="120">SUM(D120)</f>
        <v>0</v>
      </c>
      <c r="E119" s="218">
        <f t="shared" si="120"/>
        <v>0</v>
      </c>
      <c r="F119" s="218">
        <f t="shared" si="120"/>
        <v>0</v>
      </c>
      <c r="G119" s="218">
        <f t="shared" si="120"/>
        <v>44072667</v>
      </c>
      <c r="H119" s="218">
        <f t="shared" si="120"/>
        <v>0</v>
      </c>
      <c r="I119" s="218">
        <f t="shared" si="120"/>
        <v>44072667</v>
      </c>
      <c r="J119" s="218">
        <f t="shared" si="120"/>
        <v>18054000</v>
      </c>
      <c r="K119" s="218">
        <f t="shared" si="120"/>
        <v>18054000</v>
      </c>
      <c r="L119" s="218">
        <f t="shared" si="120"/>
        <v>18054000</v>
      </c>
      <c r="M119" s="218">
        <f t="shared" si="120"/>
        <v>4374000</v>
      </c>
      <c r="N119" s="218">
        <f t="shared" si="120"/>
        <v>-23487352</v>
      </c>
      <c r="O119" s="218">
        <f t="shared" si="120"/>
        <v>0</v>
      </c>
      <c r="P119" s="218">
        <f t="shared" si="120"/>
        <v>18054000</v>
      </c>
      <c r="Q119" s="218">
        <f t="shared" si="120"/>
        <v>4374000</v>
      </c>
      <c r="R119" s="218">
        <f t="shared" si="120"/>
        <v>0</v>
      </c>
      <c r="S119" s="218">
        <f t="shared" si="120"/>
        <v>0</v>
      </c>
      <c r="T119" s="218">
        <f t="shared" si="120"/>
        <v>13680000</v>
      </c>
      <c r="U119" s="208"/>
      <c r="V119" s="208"/>
      <c r="W119" s="208"/>
      <c r="X119" s="208"/>
    </row>
    <row r="120" spans="1:24" x14ac:dyDescent="0.3">
      <c r="A120" s="111" t="s">
        <v>869</v>
      </c>
      <c r="B120" s="111" t="s">
        <v>868</v>
      </c>
      <c r="C120" s="219">
        <v>0</v>
      </c>
      <c r="D120" s="209">
        <f>SUMIFS(gastos!Q:Q,gastos!M:M,ejec_ICPA!B120,gastos!P:P,ejec_ICPA!A120)</f>
        <v>0</v>
      </c>
      <c r="E120" s="209">
        <f>SUMIFS(gastos!R:R,gastos!M:M,ejec_ICPA!B120,gastos!P:P,ejec_ICPA!A120)</f>
        <v>0</v>
      </c>
      <c r="F120" s="209">
        <f>SUMIFS(gastos!S:S,gastos!M:M,ejec_ICPA!B120,gastos!P:P,ejec_ICPA!A120)</f>
        <v>0</v>
      </c>
      <c r="G120" s="209">
        <f>SUMIFS(gastos!T:T,gastos!M:M,ejec_ICPA!B120,gastos!P:P,ejec_ICPA!A120)</f>
        <v>44072667</v>
      </c>
      <c r="H120" s="209">
        <f>SUMIFS(gastos!U:U,gastos!M:M,ejec_ICPA!B120,gastos!P:P,ejec_ICPA!A120)</f>
        <v>0</v>
      </c>
      <c r="I120" s="209">
        <f>D120+E120-F120+G120-H120</f>
        <v>44072667</v>
      </c>
      <c r="J120" s="209">
        <f>SUMIFS(gastos!W:W,gastos!M:M,ejec_ICPA!B120,gastos!P:P,ejec_ICPA!A120)</f>
        <v>18054000</v>
      </c>
      <c r="K120" s="209">
        <f>SUMIFS(gastos!X:X,gastos!$M:$M,ejec_ICPA!B120,gastos!$P:$P,ejec_ICPA!A120)</f>
        <v>18054000</v>
      </c>
      <c r="L120" s="209">
        <f>SUMIFS(gastos!$Z:$Z,gastos!$M:$M,ejec_ICPA!$B120,gastos!$P:$P,ejec_ICPA!$A120)</f>
        <v>18054000</v>
      </c>
      <c r="M120" s="209">
        <f>SUMIFS(gastos!$AE:$AE,gastos!$M:$M,ejec_ICPA!$B120,gastos!$P:$P,ejec_ICPA!$A120)</f>
        <v>4374000</v>
      </c>
      <c r="N120" s="209">
        <f>SUMIFS(gastos!AG:AG,gastos!$M:$M,ejec_ICPA!B120,gastos!$P:$P,ejec_ICPA!A120)</f>
        <v>-23487352</v>
      </c>
      <c r="O120" s="209">
        <f>SUMIFS(gastos!AH:AH,gastos!$M:$M,ejec_ICPA!$B120,gastos!$P:$P,ejec_ICPA!$A120)</f>
        <v>0</v>
      </c>
      <c r="P120" s="209">
        <f>SUMIFS(gastos!$AF:$AF,gastos!$M:$M,ejec_ICPA!$B120,gastos!$P:$P,ejec_ICPA!$A120)</f>
        <v>18054000</v>
      </c>
      <c r="Q120" s="209">
        <f>SUMIFS(gastos!AJ:AJ,gastos!$M:$M,ejec_ICPA!$B120,gastos!$P:$P,ejec_ICPA!$A120)</f>
        <v>4374000</v>
      </c>
      <c r="R120" s="209">
        <f>K120-L120</f>
        <v>0</v>
      </c>
      <c r="S120" s="209">
        <f>L120-J120</f>
        <v>0</v>
      </c>
      <c r="T120" s="209">
        <f>J120-M120</f>
        <v>13680000</v>
      </c>
    </row>
    <row r="121" spans="1:24" x14ac:dyDescent="0.3">
      <c r="A121" s="113" t="s">
        <v>973</v>
      </c>
      <c r="B121" s="217" t="s">
        <v>486</v>
      </c>
      <c r="C121" s="218">
        <f>SUM(C122)</f>
        <v>0</v>
      </c>
      <c r="D121" s="218">
        <f t="shared" ref="D121:T121" si="121">SUM(D122)</f>
        <v>0</v>
      </c>
      <c r="E121" s="218">
        <f t="shared" si="121"/>
        <v>0</v>
      </c>
      <c r="F121" s="218">
        <f t="shared" si="121"/>
        <v>0</v>
      </c>
      <c r="G121" s="218">
        <f t="shared" si="121"/>
        <v>17800000</v>
      </c>
      <c r="H121" s="218">
        <f t="shared" si="121"/>
        <v>0</v>
      </c>
      <c r="I121" s="218">
        <f t="shared" si="121"/>
        <v>17800000</v>
      </c>
      <c r="J121" s="218">
        <f t="shared" si="121"/>
        <v>17332863</v>
      </c>
      <c r="K121" s="218">
        <f t="shared" si="121"/>
        <v>17332863</v>
      </c>
      <c r="L121" s="218">
        <f t="shared" si="121"/>
        <v>17332863</v>
      </c>
      <c r="M121" s="218">
        <f t="shared" si="121"/>
        <v>0</v>
      </c>
      <c r="N121" s="218">
        <f t="shared" si="121"/>
        <v>-439724</v>
      </c>
      <c r="O121" s="218">
        <f t="shared" si="121"/>
        <v>0</v>
      </c>
      <c r="P121" s="218">
        <f t="shared" si="121"/>
        <v>17332863</v>
      </c>
      <c r="Q121" s="218">
        <f t="shared" si="121"/>
        <v>0</v>
      </c>
      <c r="R121" s="218">
        <f t="shared" si="121"/>
        <v>0</v>
      </c>
      <c r="S121" s="218">
        <f t="shared" si="121"/>
        <v>0</v>
      </c>
      <c r="T121" s="218">
        <f t="shared" si="121"/>
        <v>17332863</v>
      </c>
    </row>
    <row r="122" spans="1:24" x14ac:dyDescent="0.3">
      <c r="A122" s="111" t="s">
        <v>950</v>
      </c>
      <c r="B122" s="111" t="s">
        <v>868</v>
      </c>
      <c r="C122" s="219">
        <v>0</v>
      </c>
      <c r="D122" s="209">
        <f>SUMIFS(gastos!Q:Q,gastos!M:M,ejec_ICPA!B122,gastos!P:P,ejec_ICPA!A122)</f>
        <v>0</v>
      </c>
      <c r="E122" s="209">
        <f>SUMIFS(gastos!R:R,gastos!M:M,ejec_ICPA!B122,gastos!P:P,ejec_ICPA!A122)</f>
        <v>0</v>
      </c>
      <c r="F122" s="209">
        <f>SUMIFS(gastos!S:S,gastos!M:M,ejec_ICPA!B122,gastos!P:P,ejec_ICPA!A122)</f>
        <v>0</v>
      </c>
      <c r="G122" s="209">
        <f>SUMIFS(gastos!T:T,gastos!M:M,ejec_ICPA!B122,gastos!P:P,ejec_ICPA!A122)</f>
        <v>17800000</v>
      </c>
      <c r="H122" s="209">
        <f>SUMIFS(gastos!U:U,gastos!M:M,ejec_ICPA!B122,gastos!P:P,ejec_ICPA!A122)</f>
        <v>0</v>
      </c>
      <c r="I122" s="209">
        <f>D122+E122-F122+G122-H122</f>
        <v>17800000</v>
      </c>
      <c r="J122" s="209">
        <f>SUMIFS(gastos!W:W,gastos!M:M,ejec_ICPA!B122,gastos!P:P,ejec_ICPA!A122)</f>
        <v>17332863</v>
      </c>
      <c r="K122" s="209">
        <f>SUMIFS(gastos!X:X,gastos!$M:$M,ejec_ICPA!B122,gastos!$P:$P,ejec_ICPA!A122)</f>
        <v>17332863</v>
      </c>
      <c r="L122" s="209">
        <f>SUMIFS(gastos!$Z:$Z,gastos!$M:$M,ejec_ICPA!$B122,gastos!$P:$P,ejec_ICPA!$A122)</f>
        <v>17332863</v>
      </c>
      <c r="M122" s="209">
        <f>SUMIFS(gastos!$AE:$AE,gastos!$M:$M,ejec_ICPA!$B122,gastos!$P:$P,ejec_ICPA!$A122)</f>
        <v>0</v>
      </c>
      <c r="N122" s="209">
        <f>SUMIFS(gastos!AG:AG,gastos!$M:$M,ejec_ICPA!B122,gastos!$P:$P,ejec_ICPA!A122)</f>
        <v>-439724</v>
      </c>
      <c r="O122" s="209">
        <f>SUMIFS(gastos!AH:AH,gastos!$M:$M,ejec_ICPA!$B122,gastos!$P:$P,ejec_ICPA!$A122)</f>
        <v>0</v>
      </c>
      <c r="P122" s="209">
        <f>SUMIFS(gastos!$AF:$AF,gastos!$M:$M,ejec_ICPA!$B122,gastos!$P:$P,ejec_ICPA!$A122)</f>
        <v>17332863</v>
      </c>
      <c r="Q122" s="209">
        <f>SUMIFS(gastos!AJ:AJ,gastos!$M:$M,ejec_ICPA!$B122,gastos!$P:$P,ejec_ICPA!$A122)</f>
        <v>0</v>
      </c>
      <c r="R122" s="209">
        <f>K122-L122</f>
        <v>0</v>
      </c>
      <c r="S122" s="209">
        <f>L122-J122</f>
        <v>0</v>
      </c>
      <c r="T122" s="209">
        <f>J122-M122</f>
        <v>17332863</v>
      </c>
    </row>
    <row r="123" spans="1:24" s="105" customFormat="1" x14ac:dyDescent="0.3">
      <c r="A123" s="226">
        <v>2320201003</v>
      </c>
      <c r="B123" s="548" t="s">
        <v>559</v>
      </c>
      <c r="C123" s="218">
        <f>C124+C126</f>
        <v>0</v>
      </c>
      <c r="D123" s="218">
        <f t="shared" ref="D123:T123" si="122">D124+D126</f>
        <v>0</v>
      </c>
      <c r="E123" s="218">
        <f t="shared" si="122"/>
        <v>0</v>
      </c>
      <c r="F123" s="218">
        <f t="shared" si="122"/>
        <v>0</v>
      </c>
      <c r="G123" s="218">
        <f t="shared" si="122"/>
        <v>19559470</v>
      </c>
      <c r="H123" s="218">
        <f t="shared" si="122"/>
        <v>0</v>
      </c>
      <c r="I123" s="218">
        <f t="shared" si="122"/>
        <v>19559470</v>
      </c>
      <c r="J123" s="218">
        <f t="shared" si="122"/>
        <v>3044854</v>
      </c>
      <c r="K123" s="218">
        <f t="shared" si="122"/>
        <v>3044854</v>
      </c>
      <c r="L123" s="218">
        <f t="shared" si="122"/>
        <v>3044854</v>
      </c>
      <c r="M123" s="218">
        <f t="shared" si="122"/>
        <v>0</v>
      </c>
      <c r="N123" s="218">
        <f t="shared" si="122"/>
        <v>-16503949</v>
      </c>
      <c r="O123" s="218">
        <f t="shared" si="122"/>
        <v>0</v>
      </c>
      <c r="P123" s="218">
        <f t="shared" si="122"/>
        <v>3044854</v>
      </c>
      <c r="Q123" s="218">
        <f t="shared" si="122"/>
        <v>0</v>
      </c>
      <c r="R123" s="218">
        <f t="shared" si="122"/>
        <v>0</v>
      </c>
      <c r="S123" s="218">
        <f t="shared" si="122"/>
        <v>0</v>
      </c>
      <c r="T123" s="218">
        <f t="shared" si="122"/>
        <v>3044854</v>
      </c>
      <c r="U123" s="208"/>
      <c r="V123" s="208"/>
      <c r="W123" s="208"/>
      <c r="X123" s="208"/>
    </row>
    <row r="124" spans="1:24" s="105" customFormat="1" x14ac:dyDescent="0.3">
      <c r="A124" s="113" t="s">
        <v>899</v>
      </c>
      <c r="B124" s="217" t="s">
        <v>486</v>
      </c>
      <c r="C124" s="218">
        <f>C125</f>
        <v>0</v>
      </c>
      <c r="D124" s="218">
        <f t="shared" ref="D124:T126" si="123">D125</f>
        <v>0</v>
      </c>
      <c r="E124" s="218">
        <f t="shared" si="123"/>
        <v>0</v>
      </c>
      <c r="F124" s="218">
        <f t="shared" si="123"/>
        <v>0</v>
      </c>
      <c r="G124" s="218">
        <f t="shared" si="123"/>
        <v>6559470</v>
      </c>
      <c r="H124" s="218">
        <f t="shared" si="123"/>
        <v>0</v>
      </c>
      <c r="I124" s="218">
        <f t="shared" si="123"/>
        <v>6559470</v>
      </c>
      <c r="J124" s="218">
        <f t="shared" si="123"/>
        <v>2079999</v>
      </c>
      <c r="K124" s="218">
        <f t="shared" si="123"/>
        <v>2079999</v>
      </c>
      <c r="L124" s="218">
        <f t="shared" si="123"/>
        <v>2079999</v>
      </c>
      <c r="M124" s="218">
        <f t="shared" si="123"/>
        <v>0</v>
      </c>
      <c r="N124" s="218">
        <f t="shared" si="123"/>
        <v>-4479471</v>
      </c>
      <c r="O124" s="218">
        <f t="shared" si="123"/>
        <v>0</v>
      </c>
      <c r="P124" s="218">
        <f t="shared" si="123"/>
        <v>2079999</v>
      </c>
      <c r="Q124" s="218">
        <f t="shared" si="123"/>
        <v>0</v>
      </c>
      <c r="R124" s="218">
        <f t="shared" si="123"/>
        <v>0</v>
      </c>
      <c r="S124" s="218">
        <f t="shared" si="123"/>
        <v>0</v>
      </c>
      <c r="T124" s="218">
        <f t="shared" si="123"/>
        <v>2079999</v>
      </c>
      <c r="U124" s="208"/>
      <c r="V124" s="208"/>
      <c r="W124" s="208"/>
      <c r="X124" s="208"/>
    </row>
    <row r="125" spans="1:24" x14ac:dyDescent="0.3">
      <c r="A125" s="111" t="s">
        <v>876</v>
      </c>
      <c r="B125" s="111" t="s">
        <v>875</v>
      </c>
      <c r="C125" s="219">
        <v>0</v>
      </c>
      <c r="D125" s="209">
        <f>SUMIFS(gastos!Q:Q,gastos!M:M,ejec_ICPA!B125,gastos!P:P,ejec_ICPA!A125)</f>
        <v>0</v>
      </c>
      <c r="E125" s="209">
        <f>SUMIFS(gastos!R:R,gastos!M:M,ejec_ICPA!B125,gastos!P:P,ejec_ICPA!A125)</f>
        <v>0</v>
      </c>
      <c r="F125" s="209">
        <f>SUMIFS(gastos!S:S,gastos!M:M,ejec_ICPA!B125,gastos!P:P,ejec_ICPA!A125)</f>
        <v>0</v>
      </c>
      <c r="G125" s="209">
        <f>SUMIFS(gastos!T:T,gastos!M:M,ejec_ICPA!B125,gastos!P:P,ejec_ICPA!A125)</f>
        <v>6559470</v>
      </c>
      <c r="H125" s="209">
        <f>SUMIFS(gastos!U:U,gastos!M:M,ejec_ICPA!B125,gastos!P:P,ejec_ICPA!A125)</f>
        <v>0</v>
      </c>
      <c r="I125" s="209">
        <f>D125+E125-F125+G125-H125</f>
        <v>6559470</v>
      </c>
      <c r="J125" s="209">
        <f>SUMIFS(gastos!W:W,gastos!M:M,ejec_ICPA!B125,gastos!P:P,ejec_ICPA!A125)</f>
        <v>2079999</v>
      </c>
      <c r="K125" s="209">
        <f>SUMIFS(gastos!X:X,gastos!$M:$M,ejec_ICPA!B125,gastos!$P:$P,ejec_ICPA!A125)</f>
        <v>2079999</v>
      </c>
      <c r="L125" s="209">
        <f>SUMIFS(gastos!$Z:$Z,gastos!$M:$M,ejec_ICPA!$B125,gastos!$P:$P,ejec_ICPA!$A125)</f>
        <v>2079999</v>
      </c>
      <c r="M125" s="209">
        <f>SUMIFS(gastos!$AE:$AE,gastos!$M:$M,ejec_ICPA!$B125,gastos!$P:$P,ejec_ICPA!$A125)</f>
        <v>0</v>
      </c>
      <c r="N125" s="209">
        <f>SUMIFS(gastos!AG:AG,gastos!$M:$M,ejec_ICPA!B125,gastos!$P:$P,ejec_ICPA!A125)</f>
        <v>-4479471</v>
      </c>
      <c r="O125" s="209">
        <f>SUMIFS(gastos!AH:AH,gastos!$M:$M,ejec_ICPA!$B125,gastos!$P:$P,ejec_ICPA!$A125)</f>
        <v>0</v>
      </c>
      <c r="P125" s="209">
        <f>SUMIFS(gastos!$AF:$AF,gastos!$M:$M,ejec_ICPA!$B125,gastos!$P:$P,ejec_ICPA!$A125)</f>
        <v>2079999</v>
      </c>
      <c r="Q125" s="209">
        <f>SUMIFS(gastos!AJ:AJ,gastos!$M:$M,ejec_ICPA!$B125,gastos!$P:$P,ejec_ICPA!$A125)</f>
        <v>0</v>
      </c>
      <c r="R125" s="209">
        <f>K125-L125</f>
        <v>0</v>
      </c>
      <c r="S125" s="209">
        <f>L125-J125</f>
        <v>0</v>
      </c>
      <c r="T125" s="209">
        <f>J125-M125</f>
        <v>2079999</v>
      </c>
    </row>
    <row r="126" spans="1:24" x14ac:dyDescent="0.3">
      <c r="A126" s="113" t="s">
        <v>974</v>
      </c>
      <c r="B126" s="217" t="s">
        <v>486</v>
      </c>
      <c r="C126" s="218">
        <f>C127</f>
        <v>0</v>
      </c>
      <c r="D126" s="218">
        <f t="shared" si="123"/>
        <v>0</v>
      </c>
      <c r="E126" s="218">
        <f t="shared" si="123"/>
        <v>0</v>
      </c>
      <c r="F126" s="218">
        <f t="shared" si="123"/>
        <v>0</v>
      </c>
      <c r="G126" s="218">
        <f t="shared" si="123"/>
        <v>13000000</v>
      </c>
      <c r="H126" s="218">
        <f t="shared" si="123"/>
        <v>0</v>
      </c>
      <c r="I126" s="218">
        <f t="shared" si="123"/>
        <v>13000000</v>
      </c>
      <c r="J126" s="218">
        <f t="shared" si="123"/>
        <v>964855</v>
      </c>
      <c r="K126" s="218">
        <f t="shared" si="123"/>
        <v>964855</v>
      </c>
      <c r="L126" s="218">
        <f t="shared" si="123"/>
        <v>964855</v>
      </c>
      <c r="M126" s="218">
        <f t="shared" si="123"/>
        <v>0</v>
      </c>
      <c r="N126" s="218">
        <f t="shared" si="123"/>
        <v>-12024478</v>
      </c>
      <c r="O126" s="218">
        <f t="shared" si="123"/>
        <v>0</v>
      </c>
      <c r="P126" s="218">
        <f t="shared" si="123"/>
        <v>964855</v>
      </c>
      <c r="Q126" s="218">
        <f t="shared" si="123"/>
        <v>0</v>
      </c>
      <c r="R126" s="218">
        <f t="shared" si="123"/>
        <v>0</v>
      </c>
      <c r="S126" s="218">
        <f t="shared" si="123"/>
        <v>0</v>
      </c>
      <c r="T126" s="218">
        <f t="shared" si="123"/>
        <v>964855</v>
      </c>
    </row>
    <row r="127" spans="1:24" x14ac:dyDescent="0.3">
      <c r="A127" s="111" t="s">
        <v>951</v>
      </c>
      <c r="B127" s="111" t="s">
        <v>875</v>
      </c>
      <c r="C127" s="219">
        <v>0</v>
      </c>
      <c r="D127" s="209">
        <f>SUMIFS(gastos!Q:Q,gastos!M:M,ejec_ICPA!B127,gastos!P:P,ejec_ICPA!A127)</f>
        <v>0</v>
      </c>
      <c r="E127" s="209">
        <f>SUMIFS(gastos!R:R,gastos!M:M,ejec_ICPA!B127,gastos!P:P,ejec_ICPA!A127)</f>
        <v>0</v>
      </c>
      <c r="F127" s="209">
        <f>SUMIFS(gastos!S:S,gastos!M:M,ejec_ICPA!B127,gastos!P:P,ejec_ICPA!A127)</f>
        <v>0</v>
      </c>
      <c r="G127" s="209">
        <f>SUMIFS(gastos!T:T,gastos!M:M,ejec_ICPA!B127,gastos!P:P,ejec_ICPA!A127)</f>
        <v>13000000</v>
      </c>
      <c r="H127" s="209">
        <f>SUMIFS(gastos!U:U,gastos!M:M,ejec_ICPA!B127,gastos!P:P,ejec_ICPA!A127)</f>
        <v>0</v>
      </c>
      <c r="I127" s="209">
        <f>D127+E127-F127+G127-H127</f>
        <v>13000000</v>
      </c>
      <c r="J127" s="209">
        <f>SUMIFS(gastos!W:W,gastos!M:M,ejec_ICPA!B127,gastos!P:P,ejec_ICPA!A127)</f>
        <v>964855</v>
      </c>
      <c r="K127" s="209">
        <f>SUMIFS(gastos!X:X,gastos!$M:$M,ejec_ICPA!B127,gastos!$P:$P,ejec_ICPA!A127)</f>
        <v>964855</v>
      </c>
      <c r="L127" s="209">
        <f>SUMIFS(gastos!$Z:$Z,gastos!$M:$M,ejec_ICPA!$B127,gastos!$P:$P,ejec_ICPA!$A127)</f>
        <v>964855</v>
      </c>
      <c r="M127" s="209">
        <f>SUMIFS(gastos!$AE:$AE,gastos!$M:$M,ejec_ICPA!$B127,gastos!$P:$P,ejec_ICPA!$A127)</f>
        <v>0</v>
      </c>
      <c r="N127" s="209">
        <f>SUMIFS(gastos!AG:AG,gastos!$M:$M,ejec_ICPA!B127,gastos!$P:$P,ejec_ICPA!A127)</f>
        <v>-12024478</v>
      </c>
      <c r="O127" s="209">
        <f>SUMIFS(gastos!AH:AH,gastos!$M:$M,ejec_ICPA!$B127,gastos!$P:$P,ejec_ICPA!$A127)</f>
        <v>0</v>
      </c>
      <c r="P127" s="209">
        <f>SUMIFS(gastos!$AF:$AF,gastos!$M:$M,ejec_ICPA!$B127,gastos!$P:$P,ejec_ICPA!$A127)</f>
        <v>964855</v>
      </c>
      <c r="Q127" s="209">
        <f>SUMIFS(gastos!AJ:AJ,gastos!$M:$M,ejec_ICPA!$B127,gastos!$P:$P,ejec_ICPA!$A127)</f>
        <v>0</v>
      </c>
      <c r="R127" s="209">
        <f>K127-L127</f>
        <v>0</v>
      </c>
      <c r="S127" s="209">
        <f>L127-J127</f>
        <v>0</v>
      </c>
      <c r="T127" s="209">
        <f>J127-M127</f>
        <v>964855</v>
      </c>
    </row>
    <row r="128" spans="1:24" s="105" customFormat="1" x14ac:dyDescent="0.3">
      <c r="A128" s="113" t="s">
        <v>692</v>
      </c>
      <c r="B128" s="212" t="s">
        <v>646</v>
      </c>
      <c r="C128" s="218">
        <f>C129</f>
        <v>6700011063</v>
      </c>
      <c r="D128" s="218">
        <f t="shared" ref="D128:T128" si="124">D129</f>
        <v>6700011063</v>
      </c>
      <c r="E128" s="218">
        <f t="shared" si="124"/>
        <v>8768342660</v>
      </c>
      <c r="F128" s="218">
        <f t="shared" si="124"/>
        <v>701874892</v>
      </c>
      <c r="G128" s="218">
        <f t="shared" si="124"/>
        <v>2598007266</v>
      </c>
      <c r="H128" s="218">
        <f t="shared" si="124"/>
        <v>2479781767</v>
      </c>
      <c r="I128" s="218">
        <f t="shared" si="124"/>
        <v>14884704330</v>
      </c>
      <c r="J128" s="218">
        <f t="shared" si="124"/>
        <v>10966404883</v>
      </c>
      <c r="K128" s="218">
        <f t="shared" si="124"/>
        <v>10966404883</v>
      </c>
      <c r="L128" s="218">
        <f t="shared" si="124"/>
        <v>10966404883</v>
      </c>
      <c r="M128" s="218">
        <f t="shared" si="124"/>
        <v>10143865117</v>
      </c>
      <c r="N128" s="218">
        <f t="shared" si="124"/>
        <v>-574238357</v>
      </c>
      <c r="O128" s="218">
        <f t="shared" si="124"/>
        <v>0</v>
      </c>
      <c r="P128" s="218">
        <f t="shared" si="124"/>
        <v>4481783503</v>
      </c>
      <c r="Q128" s="218">
        <f t="shared" si="124"/>
        <v>3654743737</v>
      </c>
      <c r="R128" s="218">
        <f t="shared" si="124"/>
        <v>0</v>
      </c>
      <c r="S128" s="218">
        <f t="shared" si="124"/>
        <v>0</v>
      </c>
      <c r="T128" s="218">
        <f t="shared" si="124"/>
        <v>822539766</v>
      </c>
      <c r="U128" s="208"/>
      <c r="V128" s="208"/>
      <c r="W128" s="208"/>
      <c r="X128" s="208"/>
    </row>
    <row r="129" spans="1:24" s="105" customFormat="1" x14ac:dyDescent="0.3">
      <c r="A129" s="113" t="s">
        <v>693</v>
      </c>
      <c r="B129" s="212" t="s">
        <v>647</v>
      </c>
      <c r="C129" s="218">
        <f>C130+C136+C148+C158+C169+C179+C193+C195+C203+C206+C210+C144+C154+C163+C185+C190+C208+C212+C167+C175+C177+C134</f>
        <v>6700011063</v>
      </c>
      <c r="D129" s="218">
        <f t="shared" ref="D129:T129" si="125">D130+D136+D148+D158+D169+D179+D193+D195+D203+D206+D210+D144+D154+D163+D185+D190+D208+D212+D167+D175+D177+D134</f>
        <v>6700011063</v>
      </c>
      <c r="E129" s="218">
        <f t="shared" si="125"/>
        <v>8768342660</v>
      </c>
      <c r="F129" s="218">
        <f t="shared" si="125"/>
        <v>701874892</v>
      </c>
      <c r="G129" s="218">
        <f t="shared" si="125"/>
        <v>2598007266</v>
      </c>
      <c r="H129" s="218">
        <f t="shared" si="125"/>
        <v>2479781767</v>
      </c>
      <c r="I129" s="218">
        <f t="shared" si="125"/>
        <v>14884704330</v>
      </c>
      <c r="J129" s="218">
        <f t="shared" si="125"/>
        <v>10966404883</v>
      </c>
      <c r="K129" s="218">
        <f t="shared" si="125"/>
        <v>10966404883</v>
      </c>
      <c r="L129" s="218">
        <f t="shared" si="125"/>
        <v>10966404883</v>
      </c>
      <c r="M129" s="218">
        <f t="shared" si="125"/>
        <v>10143865117</v>
      </c>
      <c r="N129" s="218">
        <f t="shared" si="125"/>
        <v>-574238357</v>
      </c>
      <c r="O129" s="218">
        <f t="shared" si="125"/>
        <v>0</v>
      </c>
      <c r="P129" s="218">
        <f t="shared" si="125"/>
        <v>4481783503</v>
      </c>
      <c r="Q129" s="218">
        <f t="shared" si="125"/>
        <v>3654743737</v>
      </c>
      <c r="R129" s="218">
        <f t="shared" si="125"/>
        <v>0</v>
      </c>
      <c r="S129" s="218">
        <f t="shared" si="125"/>
        <v>0</v>
      </c>
      <c r="T129" s="218">
        <f t="shared" si="125"/>
        <v>822539766</v>
      </c>
      <c r="U129" s="208"/>
      <c r="V129" s="208"/>
      <c r="W129" s="208"/>
      <c r="X129" s="208"/>
    </row>
    <row r="130" spans="1:24" s="105" customFormat="1" x14ac:dyDescent="0.3">
      <c r="A130" s="113" t="s">
        <v>707</v>
      </c>
      <c r="B130" s="217" t="s">
        <v>421</v>
      </c>
      <c r="C130" s="218">
        <f>SUM(C131:C133)</f>
        <v>1025000000</v>
      </c>
      <c r="D130" s="218">
        <f t="shared" ref="D130:T130" si="126">SUM(D131:D133)</f>
        <v>1025000000</v>
      </c>
      <c r="E130" s="218">
        <f>SUM(E131:E133)</f>
        <v>200000000</v>
      </c>
      <c r="F130" s="218">
        <f t="shared" si="126"/>
        <v>0</v>
      </c>
      <c r="G130" s="218">
        <f t="shared" si="126"/>
        <v>0</v>
      </c>
      <c r="H130" s="218">
        <f t="shared" si="126"/>
        <v>0</v>
      </c>
      <c r="I130" s="218">
        <f t="shared" si="126"/>
        <v>1225000000</v>
      </c>
      <c r="J130" s="218">
        <f t="shared" si="126"/>
        <v>1218443828</v>
      </c>
      <c r="K130" s="218">
        <f t="shared" si="126"/>
        <v>1218443828</v>
      </c>
      <c r="L130" s="218">
        <f t="shared" si="126"/>
        <v>1218443828</v>
      </c>
      <c r="M130" s="218">
        <f t="shared" si="126"/>
        <v>1218443828</v>
      </c>
      <c r="N130" s="218">
        <f t="shared" si="126"/>
        <v>-1556172</v>
      </c>
      <c r="O130" s="218">
        <f t="shared" si="126"/>
        <v>0</v>
      </c>
      <c r="P130" s="218">
        <f t="shared" si="126"/>
        <v>845476502</v>
      </c>
      <c r="Q130" s="218">
        <f t="shared" si="126"/>
        <v>845476502</v>
      </c>
      <c r="R130" s="218">
        <f t="shared" si="126"/>
        <v>0</v>
      </c>
      <c r="S130" s="218">
        <f t="shared" si="126"/>
        <v>0</v>
      </c>
      <c r="T130" s="218">
        <f t="shared" si="126"/>
        <v>0</v>
      </c>
      <c r="U130" s="208"/>
      <c r="V130" s="208"/>
      <c r="W130" s="208"/>
      <c r="X130" s="208"/>
    </row>
    <row r="131" spans="1:24" x14ac:dyDescent="0.3">
      <c r="A131" s="111" t="s">
        <v>423</v>
      </c>
      <c r="B131" s="221" t="s">
        <v>422</v>
      </c>
      <c r="C131" s="173">
        <v>325000000</v>
      </c>
      <c r="D131" s="209">
        <f>SUMIFS(gastos!Q:Q,gastos!M:M,ejec_ICPA!B131,gastos!P:P,ejec_ICPA!A131)</f>
        <v>325000000</v>
      </c>
      <c r="E131" s="209">
        <f>SUMIFS(gastos!R:R,gastos!M:M,ejec_ICPA!B131,gastos!P:P,ejec_ICPA!A131)</f>
        <v>0</v>
      </c>
      <c r="F131" s="209">
        <f>SUMIFS(gastos!S:S,gastos!M:M,ejec_ICPA!B131,gastos!P:P,ejec_ICPA!A131)</f>
        <v>0</v>
      </c>
      <c r="G131" s="209">
        <f>SUMIFS(gastos!T:T,gastos!M:M,ejec_ICPA!B131,gastos!P:P,ejec_ICPA!A131)</f>
        <v>0</v>
      </c>
      <c r="H131" s="209">
        <f>SUMIFS(gastos!U:U,gastos!M:M,ejec_ICPA!B131,gastos!P:P,ejec_ICPA!A131)</f>
        <v>0</v>
      </c>
      <c r="I131" s="209">
        <f t="shared" ref="I131:I133" si="127">D131+E131-F131+G131-H131</f>
        <v>325000000</v>
      </c>
      <c r="J131" s="209">
        <f>SUMIFS(gastos!W:W,gastos!M:M,ejec_ICPA!B131,gastos!P:P,ejec_ICPA!A131)</f>
        <v>320000000</v>
      </c>
      <c r="K131" s="209">
        <f>SUMIFS(gastos!X:X,gastos!$M:$M,ejec_ICPA!B131,gastos!$P:$P,ejec_ICPA!A131)</f>
        <v>320000000</v>
      </c>
      <c r="L131" s="209">
        <f>SUMIFS(gastos!$Z:$Z,gastos!$M:$M,ejec_ICPA!$B131,gastos!$P:$P,ejec_ICPA!$A131)</f>
        <v>320000000</v>
      </c>
      <c r="M131" s="209">
        <f>SUMIFS(gastos!$AE:$AE,gastos!$M:$M,ejec_ICPA!$B131,gastos!$P:$P,ejec_ICPA!$A131)</f>
        <v>320000000</v>
      </c>
      <c r="N131" s="209">
        <f>SUMIFS(gastos!AG:AG,gastos!$M:$M,ejec_ICPA!B131,gastos!$P:$P,ejec_ICPA!A131)</f>
        <v>0</v>
      </c>
      <c r="O131" s="209">
        <f>SUMIFS(gastos!AH:AH,gastos!$M:$M,ejec_ICPA!$B131,gastos!$P:$P,ejec_ICPA!$A131)</f>
        <v>0</v>
      </c>
      <c r="P131" s="209">
        <f>SUMIFS(gastos!$AF:$AF,gastos!$M:$M,ejec_ICPA!$B131,gastos!$P:$P,ejec_ICPA!$A131)</f>
        <v>315000000</v>
      </c>
      <c r="Q131" s="209">
        <f>SUMIFS(gastos!AJ:AJ,gastos!$M:$M,ejec_ICPA!$B131,gastos!$P:$P,ejec_ICPA!$A131)</f>
        <v>315000000</v>
      </c>
      <c r="R131" s="209">
        <f t="shared" ref="R131:R133" si="128">K131-L131</f>
        <v>0</v>
      </c>
      <c r="S131" s="209">
        <f t="shared" ref="S131:S133" si="129">L131-J131</f>
        <v>0</v>
      </c>
      <c r="T131" s="209">
        <f t="shared" ref="T131:T133" si="130">J131-M131</f>
        <v>0</v>
      </c>
    </row>
    <row r="132" spans="1:24" x14ac:dyDescent="0.3">
      <c r="A132" s="111" t="s">
        <v>426</v>
      </c>
      <c r="B132" s="211" t="s">
        <v>425</v>
      </c>
      <c r="C132" s="219">
        <v>200000000</v>
      </c>
      <c r="D132" s="209">
        <f>SUMIFS(gastos!Q:Q,gastos!M:M,ejec_ICPA!B132,gastos!P:P,ejec_ICPA!A132)</f>
        <v>200000000</v>
      </c>
      <c r="E132" s="209">
        <f>SUMIFS(gastos!R:R,gastos!M:M,ejec_ICPA!B132,gastos!P:P,ejec_ICPA!A132)</f>
        <v>200000000</v>
      </c>
      <c r="F132" s="209">
        <f>SUMIFS(gastos!S:S,gastos!M:M,ejec_ICPA!B132,gastos!P:P,ejec_ICPA!A132)</f>
        <v>0</v>
      </c>
      <c r="G132" s="209">
        <f>SUMIFS(gastos!T:T,gastos!M:M,ejec_ICPA!B132,gastos!P:P,ejec_ICPA!A132)</f>
        <v>0</v>
      </c>
      <c r="H132" s="209">
        <f>SUMIFS(gastos!U:U,gastos!M:M,ejec_ICPA!B132,gastos!P:P,ejec_ICPA!A132)</f>
        <v>0</v>
      </c>
      <c r="I132" s="209">
        <f t="shared" si="127"/>
        <v>400000000</v>
      </c>
      <c r="J132" s="209">
        <f>SUMIFS(gastos!W:W,gastos!M:M,ejec_ICPA!B132,gastos!P:P,ejec_ICPA!A132)</f>
        <v>400000000</v>
      </c>
      <c r="K132" s="209">
        <f>SUMIFS(gastos!X:X,gastos!$M:$M,ejec_ICPA!B132,gastos!$P:$P,ejec_ICPA!A132)</f>
        <v>400000000</v>
      </c>
      <c r="L132" s="209">
        <f>SUMIFS(gastos!$Z:$Z,gastos!$M:$M,ejec_ICPA!$B132,gastos!$P:$P,ejec_ICPA!$A132)</f>
        <v>400000000</v>
      </c>
      <c r="M132" s="209">
        <f>SUMIFS(gastos!$AE:$AE,gastos!$M:$M,ejec_ICPA!$B132,gastos!$P:$P,ejec_ICPA!$A132)</f>
        <v>400000000</v>
      </c>
      <c r="N132" s="209">
        <f>SUMIFS(gastos!AG:AG,gastos!$M:$M,ejec_ICPA!B132,gastos!$P:$P,ejec_ICPA!A132)</f>
        <v>0</v>
      </c>
      <c r="O132" s="209">
        <f>SUMIFS(gastos!AH:AH,gastos!$M:$M,ejec_ICPA!$B132,gastos!$P:$P,ejec_ICPA!$A132)</f>
        <v>0</v>
      </c>
      <c r="P132" s="209">
        <f>SUMIFS(gastos!$AF:$AF,gastos!$M:$M,ejec_ICPA!$B132,gastos!$P:$P,ejec_ICPA!$A132)</f>
        <v>237011960</v>
      </c>
      <c r="Q132" s="209">
        <f>SUMIFS(gastos!AJ:AJ,gastos!$M:$M,ejec_ICPA!$B132,gastos!$P:$P,ejec_ICPA!$A132)</f>
        <v>237011960</v>
      </c>
      <c r="R132" s="209">
        <f t="shared" si="128"/>
        <v>0</v>
      </c>
      <c r="S132" s="209">
        <f t="shared" si="129"/>
        <v>0</v>
      </c>
      <c r="T132" s="209">
        <f t="shared" si="130"/>
        <v>0</v>
      </c>
    </row>
    <row r="133" spans="1:24" x14ac:dyDescent="0.3">
      <c r="A133" s="111" t="s">
        <v>429</v>
      </c>
      <c r="B133" s="222" t="s">
        <v>428</v>
      </c>
      <c r="C133" s="219">
        <v>500000000</v>
      </c>
      <c r="D133" s="209">
        <f>SUMIFS(gastos!Q:Q,gastos!M:M,ejec_ICPA!B133,gastos!P:P,ejec_ICPA!A133)</f>
        <v>500000000</v>
      </c>
      <c r="E133" s="209">
        <f>SUMIFS(gastos!R:R,gastos!M:M,ejec_ICPA!B133,gastos!P:P,ejec_ICPA!A133)</f>
        <v>0</v>
      </c>
      <c r="F133" s="209">
        <f>SUMIFS(gastos!S:S,gastos!M:M,ejec_ICPA!B133,gastos!P:P,ejec_ICPA!A133)</f>
        <v>0</v>
      </c>
      <c r="G133" s="209">
        <f>SUMIFS(gastos!T:T,gastos!M:M,ejec_ICPA!B133,gastos!P:P,ejec_ICPA!A133)</f>
        <v>0</v>
      </c>
      <c r="H133" s="209">
        <f>SUMIFS(gastos!U:U,gastos!M:M,ejec_ICPA!B133,gastos!P:P,ejec_ICPA!A133)</f>
        <v>0</v>
      </c>
      <c r="I133" s="209">
        <f t="shared" si="127"/>
        <v>500000000</v>
      </c>
      <c r="J133" s="209">
        <f>SUMIFS(gastos!W:W,gastos!M:M,ejec_ICPA!B133,gastos!P:P,ejec_ICPA!A133)</f>
        <v>498443828</v>
      </c>
      <c r="K133" s="209">
        <f>SUMIFS(gastos!X:X,gastos!$M:$M,ejec_ICPA!B133,gastos!$P:$P,ejec_ICPA!A133)</f>
        <v>498443828</v>
      </c>
      <c r="L133" s="209">
        <f>SUMIFS(gastos!$Z:$Z,gastos!$M:$M,ejec_ICPA!$B133,gastos!$P:$P,ejec_ICPA!$A133)</f>
        <v>498443828</v>
      </c>
      <c r="M133" s="209">
        <f>SUMIFS(gastos!$AE:$AE,gastos!$M:$M,ejec_ICPA!$B133,gastos!$P:$P,ejec_ICPA!$A133)</f>
        <v>498443828</v>
      </c>
      <c r="N133" s="209">
        <f>SUMIFS(gastos!AG:AG,gastos!$M:$M,ejec_ICPA!B133,gastos!$P:$P,ejec_ICPA!A133)</f>
        <v>-1556172</v>
      </c>
      <c r="O133" s="209">
        <f>SUMIFS(gastos!AH:AH,gastos!$M:$M,ejec_ICPA!$B133,gastos!$P:$P,ejec_ICPA!$A133)</f>
        <v>0</v>
      </c>
      <c r="P133" s="209">
        <f>SUMIFS(gastos!$AF:$AF,gastos!$M:$M,ejec_ICPA!$B133,gastos!$P:$P,ejec_ICPA!$A133)</f>
        <v>293464542</v>
      </c>
      <c r="Q133" s="209">
        <f>SUMIFS(gastos!AJ:AJ,gastos!$M:$M,ejec_ICPA!$B133,gastos!$P:$P,ejec_ICPA!$A133)</f>
        <v>293464542</v>
      </c>
      <c r="R133" s="209">
        <f t="shared" si="128"/>
        <v>0</v>
      </c>
      <c r="S133" s="209">
        <f t="shared" si="129"/>
        <v>0</v>
      </c>
      <c r="T133" s="209">
        <f t="shared" si="130"/>
        <v>0</v>
      </c>
    </row>
    <row r="134" spans="1:24" s="105" customFormat="1" x14ac:dyDescent="0.3">
      <c r="A134" s="543" t="s">
        <v>987</v>
      </c>
      <c r="B134" s="217" t="s">
        <v>421</v>
      </c>
      <c r="C134" s="218">
        <f>SUM(C135)</f>
        <v>0</v>
      </c>
      <c r="D134" s="218">
        <f t="shared" ref="D134:T134" si="131">SUM(D135)</f>
        <v>0</v>
      </c>
      <c r="E134" s="218">
        <f t="shared" si="131"/>
        <v>1500000000</v>
      </c>
      <c r="F134" s="218">
        <f t="shared" si="131"/>
        <v>0</v>
      </c>
      <c r="G134" s="218">
        <f t="shared" si="131"/>
        <v>0</v>
      </c>
      <c r="H134" s="218">
        <f t="shared" si="131"/>
        <v>0</v>
      </c>
      <c r="I134" s="218">
        <f t="shared" si="131"/>
        <v>1500000000</v>
      </c>
      <c r="J134" s="218">
        <f t="shared" si="131"/>
        <v>1500000000</v>
      </c>
      <c r="K134" s="218">
        <f t="shared" si="131"/>
        <v>1500000000</v>
      </c>
      <c r="L134" s="218">
        <f t="shared" si="131"/>
        <v>1500000000</v>
      </c>
      <c r="M134" s="218">
        <f t="shared" si="131"/>
        <v>1500000000</v>
      </c>
      <c r="N134" s="218">
        <f t="shared" si="131"/>
        <v>0</v>
      </c>
      <c r="O134" s="218">
        <f t="shared" si="131"/>
        <v>0</v>
      </c>
      <c r="P134" s="218">
        <f t="shared" si="131"/>
        <v>0</v>
      </c>
      <c r="Q134" s="218">
        <f t="shared" si="131"/>
        <v>0</v>
      </c>
      <c r="R134" s="218">
        <f t="shared" si="131"/>
        <v>0</v>
      </c>
      <c r="S134" s="218">
        <f t="shared" si="131"/>
        <v>0</v>
      </c>
      <c r="T134" s="218">
        <f t="shared" si="131"/>
        <v>0</v>
      </c>
      <c r="U134" s="208"/>
      <c r="V134" s="208"/>
      <c r="W134" s="208"/>
      <c r="X134" s="208"/>
    </row>
    <row r="135" spans="1:24" x14ac:dyDescent="0.3">
      <c r="A135" s="545" t="s">
        <v>985</v>
      </c>
      <c r="B135" s="545" t="s">
        <v>428</v>
      </c>
      <c r="C135" s="219">
        <v>0</v>
      </c>
      <c r="D135" s="209">
        <f>SUMIFS(gastos!Q:Q,gastos!M:M,ejec_ICPA!B135,gastos!P:P,ejec_ICPA!A135)</f>
        <v>0</v>
      </c>
      <c r="E135" s="209">
        <f>SUMIFS(gastos!R:R,gastos!M:M,ejec_ICPA!B135,gastos!P:P,ejec_ICPA!A135)</f>
        <v>1500000000</v>
      </c>
      <c r="F135" s="209">
        <f>SUMIFS(gastos!S:S,gastos!M:M,ejec_ICPA!B135,gastos!P:P,ejec_ICPA!A135)</f>
        <v>0</v>
      </c>
      <c r="G135" s="209">
        <f>SUMIFS(gastos!T:T,gastos!M:M,ejec_ICPA!B135,gastos!P:P,ejec_ICPA!A135)</f>
        <v>0</v>
      </c>
      <c r="H135" s="209">
        <f>SUMIFS(gastos!U:U,gastos!M:M,ejec_ICPA!B135,gastos!P:P,ejec_ICPA!A135)</f>
        <v>0</v>
      </c>
      <c r="I135" s="209">
        <f t="shared" ref="I135" si="132">D135+E135-F135+G135-H135</f>
        <v>1500000000</v>
      </c>
      <c r="J135" s="209">
        <f>SUMIFS(gastos!W:W,gastos!M:M,ejec_ICPA!B135,gastos!P:P,ejec_ICPA!A135)</f>
        <v>1500000000</v>
      </c>
      <c r="K135" s="209">
        <f>SUMIFS(gastos!X:X,gastos!$M:$M,ejec_ICPA!B135,gastos!$P:$P,ejec_ICPA!A135)</f>
        <v>1500000000</v>
      </c>
      <c r="L135" s="209">
        <f>SUMIFS(gastos!$Z:$Z,gastos!$M:$M,ejec_ICPA!$B135,gastos!$P:$P,ejec_ICPA!$A135)</f>
        <v>1500000000</v>
      </c>
      <c r="M135" s="209">
        <f>SUMIFS(gastos!$AE:$AE,gastos!$M:$M,ejec_ICPA!$B135,gastos!$P:$P,ejec_ICPA!$A135)</f>
        <v>1500000000</v>
      </c>
      <c r="N135" s="209">
        <f>SUMIFS(gastos!AG:AG,gastos!$M:$M,ejec_ICPA!B135,gastos!$P:$P,ejec_ICPA!A135)</f>
        <v>0</v>
      </c>
      <c r="O135" s="209">
        <f>SUMIFS(gastos!AH:AH,gastos!$M:$M,ejec_ICPA!$B135,gastos!$P:$P,ejec_ICPA!$A135)</f>
        <v>0</v>
      </c>
      <c r="P135" s="209">
        <f>SUMIFS(gastos!$AF:$AF,gastos!$M:$M,ejec_ICPA!$B135,gastos!$P:$P,ejec_ICPA!$A135)</f>
        <v>0</v>
      </c>
      <c r="Q135" s="209">
        <f>SUMIFS(gastos!AJ:AJ,gastos!$M:$M,ejec_ICPA!$B135,gastos!$P:$P,ejec_ICPA!$A135)</f>
        <v>0</v>
      </c>
      <c r="R135" s="209">
        <f t="shared" ref="R135" si="133">K135-L135</f>
        <v>0</v>
      </c>
      <c r="S135" s="209">
        <f t="shared" ref="S135" si="134">L135-J135</f>
        <v>0</v>
      </c>
      <c r="T135" s="209">
        <f t="shared" ref="T135" si="135">J135-M135</f>
        <v>0</v>
      </c>
    </row>
    <row r="136" spans="1:24" s="105" customFormat="1" x14ac:dyDescent="0.3">
      <c r="A136" s="113" t="s">
        <v>708</v>
      </c>
      <c r="B136" s="217" t="s">
        <v>361</v>
      </c>
      <c r="C136" s="218">
        <f>SUM(C137:C143)</f>
        <v>565376928</v>
      </c>
      <c r="D136" s="218">
        <f t="shared" ref="D136:T136" si="136">SUM(D137:D143)</f>
        <v>565376928</v>
      </c>
      <c r="E136" s="218">
        <f t="shared" si="136"/>
        <v>100000000</v>
      </c>
      <c r="F136" s="218">
        <f t="shared" si="136"/>
        <v>0</v>
      </c>
      <c r="G136" s="218">
        <f t="shared" si="136"/>
        <v>0</v>
      </c>
      <c r="H136" s="218">
        <f t="shared" si="136"/>
        <v>0</v>
      </c>
      <c r="I136" s="218">
        <f t="shared" si="136"/>
        <v>665376928</v>
      </c>
      <c r="J136" s="218">
        <f t="shared" si="136"/>
        <v>478865573</v>
      </c>
      <c r="K136" s="218">
        <f t="shared" si="136"/>
        <v>478865573</v>
      </c>
      <c r="L136" s="218">
        <f t="shared" si="136"/>
        <v>478865573</v>
      </c>
      <c r="M136" s="218">
        <f t="shared" si="136"/>
        <v>422113287</v>
      </c>
      <c r="N136" s="218">
        <f t="shared" si="136"/>
        <v>-20357087</v>
      </c>
      <c r="O136" s="218">
        <f t="shared" si="136"/>
        <v>0</v>
      </c>
      <c r="P136" s="218">
        <f t="shared" si="136"/>
        <v>235455514</v>
      </c>
      <c r="Q136" s="218">
        <f t="shared" si="136"/>
        <v>178703228</v>
      </c>
      <c r="R136" s="218">
        <f t="shared" si="136"/>
        <v>0</v>
      </c>
      <c r="S136" s="218">
        <f t="shared" si="136"/>
        <v>0</v>
      </c>
      <c r="T136" s="218">
        <f t="shared" si="136"/>
        <v>56752286</v>
      </c>
      <c r="U136" s="208"/>
      <c r="V136" s="208"/>
      <c r="W136" s="208"/>
      <c r="X136" s="208"/>
    </row>
    <row r="137" spans="1:24" x14ac:dyDescent="0.3">
      <c r="A137" s="111" t="s">
        <v>364</v>
      </c>
      <c r="B137" s="223" t="s">
        <v>362</v>
      </c>
      <c r="C137" s="219">
        <v>125000000</v>
      </c>
      <c r="D137" s="209">
        <f>SUMIFS(gastos!Q:Q,gastos!M:M,ejec_ICPA!B137,gastos!P:P,ejec_ICPA!A137)</f>
        <v>125000000</v>
      </c>
      <c r="E137" s="209">
        <f>SUMIFS(gastos!R:R,gastos!M:M,ejec_ICPA!B137,gastos!P:P,ejec_ICPA!A137)</f>
        <v>0</v>
      </c>
      <c r="F137" s="209">
        <f>SUMIFS(gastos!S:S,gastos!M:M,ejec_ICPA!B137,gastos!P:P,ejec_ICPA!A137)</f>
        <v>0</v>
      </c>
      <c r="G137" s="209">
        <f>SUMIFS(gastos!T:T,gastos!M:M,ejec_ICPA!B137,gastos!P:P,ejec_ICPA!A137)</f>
        <v>0</v>
      </c>
      <c r="H137" s="209">
        <f>SUMIFS(gastos!U:U,gastos!M:M,ejec_ICPA!B137,gastos!P:P,ejec_ICPA!A137)</f>
        <v>0</v>
      </c>
      <c r="I137" s="209">
        <f t="shared" ref="I137:I142" si="137">D137+E137-F137+G137-H137</f>
        <v>125000000</v>
      </c>
      <c r="J137" s="209">
        <f>SUMIFS(gastos!W:W,gastos!M:M,ejec_ICPA!B137,gastos!P:P,ejec_ICPA!A137)</f>
        <v>124427349</v>
      </c>
      <c r="K137" s="209">
        <f>SUMIFS(gastos!X:X,gastos!$M:$M,ejec_ICPA!B137,gastos!$P:$P,ejec_ICPA!A137)</f>
        <v>124427349</v>
      </c>
      <c r="L137" s="209">
        <f>SUMIFS(gastos!$Z:$Z,gastos!$M:$M,ejec_ICPA!$B137,gastos!$P:$P,ejec_ICPA!$A137)</f>
        <v>124427349</v>
      </c>
      <c r="M137" s="209">
        <f>SUMIFS(gastos!$AE:$AE,gastos!$M:$M,ejec_ICPA!$B137,gastos!$P:$P,ejec_ICPA!$A137)</f>
        <v>124427349</v>
      </c>
      <c r="N137" s="209">
        <f>SUMIFS(gastos!AG:AG,gastos!$M:$M,ejec_ICPA!B137,gastos!$P:$P,ejec_ICPA!A137)</f>
        <v>-572591</v>
      </c>
      <c r="O137" s="209">
        <f>SUMIFS(gastos!AH:AH,gastos!$M:$M,ejec_ICPA!$B137,gastos!$P:$P,ejec_ICPA!$A137)</f>
        <v>0</v>
      </c>
      <c r="P137" s="209">
        <f>SUMIFS(gastos!$AF:$AF,gastos!$M:$M,ejec_ICPA!$B137,gastos!$P:$P,ejec_ICPA!$A137)</f>
        <v>34540010</v>
      </c>
      <c r="Q137" s="209">
        <f>SUMIFS(gastos!AJ:AJ,gastos!$M:$M,ejec_ICPA!$B137,gastos!$P:$P,ejec_ICPA!$A137)</f>
        <v>34540010</v>
      </c>
      <c r="R137" s="209">
        <f t="shared" ref="R137:R142" si="138">K137-L137</f>
        <v>0</v>
      </c>
      <c r="S137" s="209">
        <f t="shared" ref="S137:S142" si="139">L137-J137</f>
        <v>0</v>
      </c>
      <c r="T137" s="209">
        <f t="shared" ref="T137:T142" si="140">J137-M137</f>
        <v>0</v>
      </c>
    </row>
    <row r="138" spans="1:24" x14ac:dyDescent="0.3">
      <c r="A138" s="111" t="s">
        <v>367</v>
      </c>
      <c r="B138" s="223" t="s">
        <v>366</v>
      </c>
      <c r="C138" s="219">
        <v>155000000</v>
      </c>
      <c r="D138" s="209">
        <f>SUMIFS(gastos!Q:Q,gastos!M:M,ejec_ICPA!B138,gastos!P:P,ejec_ICPA!A138)</f>
        <v>155000000</v>
      </c>
      <c r="E138" s="209">
        <f>SUMIFS(gastos!R:R,gastos!M:M,ejec_ICPA!B138,gastos!P:P,ejec_ICPA!A138)</f>
        <v>0</v>
      </c>
      <c r="F138" s="209">
        <f>SUMIFS(gastos!S:S,gastos!M:M,ejec_ICPA!B138,gastos!P:P,ejec_ICPA!A138)</f>
        <v>0</v>
      </c>
      <c r="G138" s="209">
        <f>SUMIFS(gastos!T:T,gastos!M:M,ejec_ICPA!B138,gastos!P:P,ejec_ICPA!A138)</f>
        <v>0</v>
      </c>
      <c r="H138" s="209">
        <f>SUMIFS(gastos!U:U,gastos!M:M,ejec_ICPA!B138,gastos!P:P,ejec_ICPA!A138)</f>
        <v>0</v>
      </c>
      <c r="I138" s="209">
        <f t="shared" si="137"/>
        <v>155000000</v>
      </c>
      <c r="J138" s="209">
        <f>SUMIFS(gastos!W:W,gastos!M:M,ejec_ICPA!B138,gastos!P:P,ejec_ICPA!A138)</f>
        <v>0</v>
      </c>
      <c r="K138" s="209">
        <f>SUMIFS(gastos!X:X,gastos!$M:$M,ejec_ICPA!B138,gastos!$P:$P,ejec_ICPA!A138)</f>
        <v>0</v>
      </c>
      <c r="L138" s="209">
        <f>SUMIFS(gastos!$Z:$Z,gastos!$M:$M,ejec_ICPA!$B138,gastos!$P:$P,ejec_ICPA!$A138)</f>
        <v>0</v>
      </c>
      <c r="M138" s="209">
        <f>SUMIFS(gastos!$AE:$AE,gastos!$M:$M,ejec_ICPA!$B138,gastos!$P:$P,ejec_ICPA!$A138)</f>
        <v>0</v>
      </c>
      <c r="N138" s="209">
        <f>SUMIFS(gastos!AG:AG,gastos!$M:$M,ejec_ICPA!B138,gastos!$P:$P,ejec_ICPA!A138)</f>
        <v>0</v>
      </c>
      <c r="O138" s="209">
        <f>SUMIFS(gastos!AH:AH,gastos!$M:$M,ejec_ICPA!$B138,gastos!$P:$P,ejec_ICPA!$A138)</f>
        <v>0</v>
      </c>
      <c r="P138" s="209">
        <f>SUMIFS(gastos!$AF:$AF,gastos!$M:$M,ejec_ICPA!$B138,gastos!$P:$P,ejec_ICPA!$A138)</f>
        <v>0</v>
      </c>
      <c r="Q138" s="209">
        <f>SUMIFS(gastos!AJ:AJ,gastos!$M:$M,ejec_ICPA!$B138,gastos!$P:$P,ejec_ICPA!$A138)</f>
        <v>0</v>
      </c>
      <c r="R138" s="209">
        <f t="shared" si="138"/>
        <v>0</v>
      </c>
      <c r="S138" s="209">
        <f t="shared" si="139"/>
        <v>0</v>
      </c>
      <c r="T138" s="209">
        <f t="shared" si="140"/>
        <v>0</v>
      </c>
    </row>
    <row r="139" spans="1:24" x14ac:dyDescent="0.3">
      <c r="A139" s="111" t="s">
        <v>370</v>
      </c>
      <c r="B139" s="223" t="s">
        <v>369</v>
      </c>
      <c r="C139" s="219">
        <v>175376928</v>
      </c>
      <c r="D139" s="209">
        <f>SUMIFS(gastos!Q:Q,gastos!M:M,ejec_ICPA!B139,gastos!P:P,ejec_ICPA!A139)</f>
        <v>175376928</v>
      </c>
      <c r="E139" s="209">
        <f>SUMIFS(gastos!R:R,gastos!M:M,ejec_ICPA!B139,gastos!P:P,ejec_ICPA!A139)</f>
        <v>0</v>
      </c>
      <c r="F139" s="209">
        <f>SUMIFS(gastos!S:S,gastos!M:M,ejec_ICPA!B139,gastos!P:P,ejec_ICPA!A139)</f>
        <v>0</v>
      </c>
      <c r="G139" s="209">
        <f>SUMIFS(gastos!T:T,gastos!M:M,ejec_ICPA!B139,gastos!P:P,ejec_ICPA!A139)</f>
        <v>0</v>
      </c>
      <c r="H139" s="209">
        <f>SUMIFS(gastos!U:U,gastos!M:M,ejec_ICPA!B139,gastos!P:P,ejec_ICPA!A139)</f>
        <v>0</v>
      </c>
      <c r="I139" s="209">
        <f t="shared" si="137"/>
        <v>175376928</v>
      </c>
      <c r="J139" s="209">
        <f>SUMIFS(gastos!W:W,gastos!M:M,ejec_ICPA!B139,gastos!P:P,ejec_ICPA!A139)</f>
        <v>163262720</v>
      </c>
      <c r="K139" s="209">
        <f>SUMIFS(gastos!X:X,gastos!$M:$M,ejec_ICPA!B139,gastos!$P:$P,ejec_ICPA!A139)</f>
        <v>163262720</v>
      </c>
      <c r="L139" s="209">
        <f>SUMIFS(gastos!$Z:$Z,gastos!$M:$M,ejec_ICPA!$B139,gastos!$P:$P,ejec_ICPA!$A139)</f>
        <v>163262720</v>
      </c>
      <c r="M139" s="209">
        <f>SUMIFS(gastos!$AE:$AE,gastos!$M:$M,ejec_ICPA!$B139,gastos!$P:$P,ejec_ICPA!$A139)</f>
        <v>143262720</v>
      </c>
      <c r="N139" s="209">
        <f>SUMIFS(gastos!AG:AG,gastos!$M:$M,ejec_ICPA!B139,gastos!$P:$P,ejec_ICPA!A139)</f>
        <v>-9960000</v>
      </c>
      <c r="O139" s="209">
        <f>SUMIFS(gastos!AH:AH,gastos!$M:$M,ejec_ICPA!$B139,gastos!$P:$P,ejec_ICPA!$A139)</f>
        <v>0</v>
      </c>
      <c r="P139" s="209">
        <f>SUMIFS(gastos!$AF:$AF,gastos!$M:$M,ejec_ICPA!$B139,gastos!$P:$P,ejec_ICPA!$A139)</f>
        <v>81940000</v>
      </c>
      <c r="Q139" s="209">
        <f>SUMIFS(gastos!AJ:AJ,gastos!$M:$M,ejec_ICPA!$B139,gastos!$P:$P,ejec_ICPA!$A139)</f>
        <v>61940000</v>
      </c>
      <c r="R139" s="209">
        <f t="shared" si="138"/>
        <v>0</v>
      </c>
      <c r="S139" s="209">
        <f t="shared" si="139"/>
        <v>0</v>
      </c>
      <c r="T139" s="209">
        <f t="shared" si="140"/>
        <v>20000000</v>
      </c>
    </row>
    <row r="140" spans="1:24" x14ac:dyDescent="0.3">
      <c r="A140" s="111" t="s">
        <v>373</v>
      </c>
      <c r="B140" s="222" t="s">
        <v>372</v>
      </c>
      <c r="C140" s="219">
        <v>5000000</v>
      </c>
      <c r="D140" s="209">
        <f>SUMIFS(gastos!Q:Q,gastos!M:M,ejec_ICPA!B140,gastos!P:P,ejec_ICPA!A140)</f>
        <v>5000000</v>
      </c>
      <c r="E140" s="209">
        <f>SUMIFS(gastos!R:R,gastos!M:M,ejec_ICPA!B140,gastos!P:P,ejec_ICPA!A140)</f>
        <v>0</v>
      </c>
      <c r="F140" s="209">
        <f>SUMIFS(gastos!S:S,gastos!M:M,ejec_ICPA!B140,gastos!P:P,ejec_ICPA!A140)</f>
        <v>0</v>
      </c>
      <c r="G140" s="209">
        <f>SUMIFS(gastos!T:T,gastos!M:M,ejec_ICPA!B140,gastos!P:P,ejec_ICPA!A140)</f>
        <v>0</v>
      </c>
      <c r="H140" s="209">
        <f>SUMIFS(gastos!U:U,gastos!M:M,ejec_ICPA!B140,gastos!P:P,ejec_ICPA!A140)</f>
        <v>0</v>
      </c>
      <c r="I140" s="209">
        <f t="shared" si="137"/>
        <v>5000000</v>
      </c>
      <c r="J140" s="209">
        <f>SUMIFS(gastos!W:W,gastos!M:M,ejec_ICPA!B140,gastos!P:P,ejec_ICPA!A140)</f>
        <v>5000000</v>
      </c>
      <c r="K140" s="209">
        <f>SUMIFS(gastos!X:X,gastos!$M:$M,ejec_ICPA!B140,gastos!$P:$P,ejec_ICPA!A140)</f>
        <v>5000000</v>
      </c>
      <c r="L140" s="209">
        <f>SUMIFS(gastos!$Z:$Z,gastos!$M:$M,ejec_ICPA!$B140,gastos!$P:$P,ejec_ICPA!$A140)</f>
        <v>5000000</v>
      </c>
      <c r="M140" s="209">
        <f>SUMIFS(gastos!$AE:$AE,gastos!$M:$M,ejec_ICPA!$B140,gastos!$P:$P,ejec_ICPA!$A140)</f>
        <v>5000000</v>
      </c>
      <c r="N140" s="209">
        <f>SUMIFS(gastos!AG:AG,gastos!$M:$M,ejec_ICPA!B140,gastos!$P:$P,ejec_ICPA!A140)</f>
        <v>0</v>
      </c>
      <c r="O140" s="209">
        <f>SUMIFS(gastos!AH:AH,gastos!$M:$M,ejec_ICPA!$B140,gastos!$P:$P,ejec_ICPA!$A140)</f>
        <v>0</v>
      </c>
      <c r="P140" s="209">
        <f>SUMIFS(gastos!$AF:$AF,gastos!$M:$M,ejec_ICPA!$B140,gastos!$P:$P,ejec_ICPA!$A140)</f>
        <v>0</v>
      </c>
      <c r="Q140" s="209">
        <f>SUMIFS(gastos!AJ:AJ,gastos!$M:$M,ejec_ICPA!$B140,gastos!$P:$P,ejec_ICPA!$A140)</f>
        <v>0</v>
      </c>
      <c r="R140" s="209">
        <f t="shared" si="138"/>
        <v>0</v>
      </c>
      <c r="S140" s="209">
        <f t="shared" si="139"/>
        <v>0</v>
      </c>
      <c r="T140" s="209">
        <f t="shared" si="140"/>
        <v>0</v>
      </c>
    </row>
    <row r="141" spans="1:24" x14ac:dyDescent="0.3">
      <c r="A141" s="111" t="s">
        <v>376</v>
      </c>
      <c r="B141" s="220" t="s">
        <v>375</v>
      </c>
      <c r="C141" s="219">
        <v>5000000</v>
      </c>
      <c r="D141" s="209">
        <f>SUMIFS(gastos!Q:Q,gastos!M:M,ejec_ICPA!B141,gastos!P:P,ejec_ICPA!A141)</f>
        <v>5000000</v>
      </c>
      <c r="E141" s="209">
        <f>SUMIFS(gastos!R:R,gastos!M:M,ejec_ICPA!B141,gastos!P:P,ejec_ICPA!A141)</f>
        <v>0</v>
      </c>
      <c r="F141" s="209">
        <f>SUMIFS(gastos!S:S,gastos!M:M,ejec_ICPA!B141,gastos!P:P,ejec_ICPA!A141)</f>
        <v>0</v>
      </c>
      <c r="G141" s="209">
        <f>SUMIFS(gastos!T:T,gastos!M:M,ejec_ICPA!B141,gastos!P:P,ejec_ICPA!A141)</f>
        <v>0</v>
      </c>
      <c r="H141" s="209">
        <f>SUMIFS(gastos!U:U,gastos!M:M,ejec_ICPA!B141,gastos!P:P,ejec_ICPA!A141)</f>
        <v>0</v>
      </c>
      <c r="I141" s="209">
        <f t="shared" si="137"/>
        <v>5000000</v>
      </c>
      <c r="J141" s="209">
        <f>SUMIFS(gastos!W:W,gastos!M:M,ejec_ICPA!B141,gastos!P:P,ejec_ICPA!A141)</f>
        <v>0</v>
      </c>
      <c r="K141" s="209">
        <f>SUMIFS(gastos!X:X,gastos!$M:$M,ejec_ICPA!B141,gastos!$P:$P,ejec_ICPA!A141)</f>
        <v>0</v>
      </c>
      <c r="L141" s="209">
        <f>SUMIFS(gastos!$Z:$Z,gastos!$M:$M,ejec_ICPA!$B141,gastos!$P:$P,ejec_ICPA!$A141)</f>
        <v>0</v>
      </c>
      <c r="M141" s="209">
        <f>SUMIFS(gastos!$AE:$AE,gastos!$M:$M,ejec_ICPA!$B141,gastos!$P:$P,ejec_ICPA!$A141)</f>
        <v>0</v>
      </c>
      <c r="N141" s="209">
        <f>SUMIFS(gastos!AG:AG,gastos!$M:$M,ejec_ICPA!B141,gastos!$P:$P,ejec_ICPA!A141)</f>
        <v>0</v>
      </c>
      <c r="O141" s="209">
        <f>SUMIFS(gastos!AH:AH,gastos!$M:$M,ejec_ICPA!$B141,gastos!$P:$P,ejec_ICPA!$A141)</f>
        <v>0</v>
      </c>
      <c r="P141" s="209">
        <f>SUMIFS(gastos!$AF:$AF,gastos!$M:$M,ejec_ICPA!$B141,gastos!$P:$P,ejec_ICPA!$A141)</f>
        <v>0</v>
      </c>
      <c r="Q141" s="209">
        <f>SUMIFS(gastos!AJ:AJ,gastos!$M:$M,ejec_ICPA!$B141,gastos!$P:$P,ejec_ICPA!$A141)</f>
        <v>0</v>
      </c>
      <c r="R141" s="209">
        <f t="shared" si="138"/>
        <v>0</v>
      </c>
      <c r="S141" s="209">
        <f t="shared" si="139"/>
        <v>0</v>
      </c>
      <c r="T141" s="209">
        <f t="shared" si="140"/>
        <v>0</v>
      </c>
    </row>
    <row r="142" spans="1:24" x14ac:dyDescent="0.3">
      <c r="A142" s="111" t="s">
        <v>379</v>
      </c>
      <c r="B142" s="220" t="s">
        <v>378</v>
      </c>
      <c r="C142" s="219">
        <v>100000000</v>
      </c>
      <c r="D142" s="209">
        <f>SUMIFS(gastos!Q:Q,gastos!M:M,ejec_ICPA!B142,gastos!P:P,ejec_ICPA!A142)</f>
        <v>100000000</v>
      </c>
      <c r="E142" s="209">
        <f>SUMIFS(gastos!R:R,gastos!M:M,ejec_ICPA!B142,gastos!P:P,ejec_ICPA!A142)</f>
        <v>0</v>
      </c>
      <c r="F142" s="209">
        <f>SUMIFS(gastos!S:S,gastos!M:M,ejec_ICPA!B142,gastos!P:P,ejec_ICPA!A142)</f>
        <v>0</v>
      </c>
      <c r="G142" s="209">
        <f>SUMIFS(gastos!T:T,gastos!M:M,ejec_ICPA!B142,gastos!P:P,ejec_ICPA!A142)</f>
        <v>0</v>
      </c>
      <c r="H142" s="209">
        <f>SUMIFS(gastos!U:U,gastos!M:M,ejec_ICPA!B142,gastos!P:P,ejec_ICPA!A142)</f>
        <v>0</v>
      </c>
      <c r="I142" s="209">
        <f t="shared" si="137"/>
        <v>100000000</v>
      </c>
      <c r="J142" s="209">
        <f>SUMIFS(gastos!W:W,gastos!M:M,ejec_ICPA!B142,gastos!P:P,ejec_ICPA!A142)</f>
        <v>96000000</v>
      </c>
      <c r="K142" s="209">
        <f>SUMIFS(gastos!X:X,gastos!$M:$M,ejec_ICPA!B142,gastos!$P:$P,ejec_ICPA!A142)</f>
        <v>96000000</v>
      </c>
      <c r="L142" s="209">
        <f>SUMIFS(gastos!$Z:$Z,gastos!$M:$M,ejec_ICPA!$B142,gastos!$P:$P,ejec_ICPA!$A142)</f>
        <v>96000000</v>
      </c>
      <c r="M142" s="209">
        <f>SUMIFS(gastos!$AE:$AE,gastos!$M:$M,ejec_ICPA!$B142,gastos!$P:$P,ejec_ICPA!$A142)</f>
        <v>96000000</v>
      </c>
      <c r="N142" s="209">
        <f>SUMIFS(gastos!AG:AG,gastos!$M:$M,ejec_ICPA!B142,gastos!$P:$P,ejec_ICPA!A142)</f>
        <v>0</v>
      </c>
      <c r="O142" s="209">
        <f>SUMIFS(gastos!AH:AH,gastos!$M:$M,ejec_ICPA!$B142,gastos!$P:$P,ejec_ICPA!$A142)</f>
        <v>0</v>
      </c>
      <c r="P142" s="209">
        <f>SUMIFS(gastos!$AF:$AF,gastos!$M:$M,ejec_ICPA!$B142,gastos!$P:$P,ejec_ICPA!$A142)</f>
        <v>28800000</v>
      </c>
      <c r="Q142" s="209">
        <f>SUMIFS(gastos!AJ:AJ,gastos!$M:$M,ejec_ICPA!$B142,gastos!$P:$P,ejec_ICPA!$A142)</f>
        <v>28800000</v>
      </c>
      <c r="R142" s="209">
        <f t="shared" si="138"/>
        <v>0</v>
      </c>
      <c r="S142" s="209">
        <f t="shared" si="139"/>
        <v>0</v>
      </c>
      <c r="T142" s="209">
        <f t="shared" si="140"/>
        <v>0</v>
      </c>
    </row>
    <row r="143" spans="1:24" x14ac:dyDescent="0.3">
      <c r="A143" s="111" t="s">
        <v>968</v>
      </c>
      <c r="B143" s="85" t="s">
        <v>400</v>
      </c>
      <c r="C143" s="219">
        <v>0</v>
      </c>
      <c r="D143" s="209">
        <f>SUMIFS(gastos!Q:Q,gastos!M:M,ejec_ICPA!B143,gastos!P:P,ejec_ICPA!A143)</f>
        <v>0</v>
      </c>
      <c r="E143" s="209">
        <f>SUMIFS(gastos!R:R,gastos!M:M,ejec_ICPA!B143,gastos!P:P,ejec_ICPA!A143)</f>
        <v>100000000</v>
      </c>
      <c r="F143" s="209">
        <f>SUMIFS(gastos!S:S,gastos!M:M,ejec_ICPA!B143,gastos!P:P,ejec_ICPA!A143)</f>
        <v>0</v>
      </c>
      <c r="G143" s="209">
        <f>SUMIFS(gastos!T:T,gastos!M:M,ejec_ICPA!B143,gastos!P:P,ejec_ICPA!A143)</f>
        <v>0</v>
      </c>
      <c r="H143" s="209">
        <f>SUMIFS(gastos!U:U,gastos!M:M,ejec_ICPA!B143,gastos!P:P,ejec_ICPA!A143)</f>
        <v>0</v>
      </c>
      <c r="I143" s="209">
        <f t="shared" ref="I143" si="141">D143+E143-F143+G143-H143</f>
        <v>100000000</v>
      </c>
      <c r="J143" s="209">
        <f>SUMIFS(gastos!W:W,gastos!M:M,ejec_ICPA!B143,gastos!P:P,ejec_ICPA!A143)</f>
        <v>90175504</v>
      </c>
      <c r="K143" s="209">
        <f>SUMIFS(gastos!X:X,gastos!$M:$M,ejec_ICPA!B143,gastos!$P:$P,ejec_ICPA!A143)</f>
        <v>90175504</v>
      </c>
      <c r="L143" s="209">
        <f>SUMIFS(gastos!$Z:$Z,gastos!$M:$M,ejec_ICPA!$B143,gastos!$P:$P,ejec_ICPA!$A143)</f>
        <v>90175504</v>
      </c>
      <c r="M143" s="209">
        <f>SUMIFS(gastos!$AE:$AE,gastos!$M:$M,ejec_ICPA!$B143,gastos!$P:$P,ejec_ICPA!$A143)</f>
        <v>53423218</v>
      </c>
      <c r="N143" s="209">
        <f>SUMIFS(gastos!AG:AG,gastos!$M:$M,ejec_ICPA!B143,gastos!$P:$P,ejec_ICPA!A143)</f>
        <v>-9824496</v>
      </c>
      <c r="O143" s="209">
        <f>SUMIFS(gastos!AH:AH,gastos!$M:$M,ejec_ICPA!$B143,gastos!$P:$P,ejec_ICPA!$A143)</f>
        <v>0</v>
      </c>
      <c r="P143" s="209">
        <f>SUMIFS(gastos!$AF:$AF,gastos!$M:$M,ejec_ICPA!$B143,gastos!$P:$P,ejec_ICPA!$A143)</f>
        <v>90175504</v>
      </c>
      <c r="Q143" s="209">
        <f>SUMIFS(gastos!AJ:AJ,gastos!$M:$M,ejec_ICPA!$B143,gastos!$P:$P,ejec_ICPA!$A143)</f>
        <v>53423218</v>
      </c>
      <c r="R143" s="209">
        <f t="shared" ref="R143" si="142">K143-L143</f>
        <v>0</v>
      </c>
      <c r="S143" s="209">
        <f t="shared" ref="S143" si="143">L143-J143</f>
        <v>0</v>
      </c>
      <c r="T143" s="209">
        <f t="shared" ref="T143" si="144">J143-M143</f>
        <v>36752286</v>
      </c>
    </row>
    <row r="144" spans="1:24" s="105" customFormat="1" x14ac:dyDescent="0.3">
      <c r="A144" s="113" t="s">
        <v>888</v>
      </c>
      <c r="B144" s="217" t="s">
        <v>361</v>
      </c>
      <c r="C144" s="218">
        <f>SUM(C145:C147)</f>
        <v>0</v>
      </c>
      <c r="D144" s="218">
        <f t="shared" ref="D144:T144" si="145">SUM(D145:D147)</f>
        <v>0</v>
      </c>
      <c r="E144" s="218">
        <f t="shared" si="145"/>
        <v>63558656</v>
      </c>
      <c r="F144" s="218">
        <f t="shared" si="145"/>
        <v>0</v>
      </c>
      <c r="G144" s="218">
        <f t="shared" si="145"/>
        <v>153251837</v>
      </c>
      <c r="H144" s="218">
        <f t="shared" si="145"/>
        <v>0</v>
      </c>
      <c r="I144" s="218">
        <f t="shared" si="145"/>
        <v>216810493</v>
      </c>
      <c r="J144" s="218">
        <f t="shared" si="145"/>
        <v>178304744</v>
      </c>
      <c r="K144" s="218">
        <f t="shared" si="145"/>
        <v>178304744</v>
      </c>
      <c r="L144" s="218">
        <f t="shared" si="145"/>
        <v>178304744</v>
      </c>
      <c r="M144" s="218">
        <f t="shared" si="145"/>
        <v>178304744</v>
      </c>
      <c r="N144" s="218">
        <f t="shared" si="145"/>
        <v>-8898212</v>
      </c>
      <c r="O144" s="218">
        <f t="shared" si="145"/>
        <v>0</v>
      </c>
      <c r="P144" s="218">
        <f t="shared" si="145"/>
        <v>78250000</v>
      </c>
      <c r="Q144" s="218">
        <f t="shared" si="145"/>
        <v>78250000</v>
      </c>
      <c r="R144" s="218">
        <f t="shared" si="145"/>
        <v>0</v>
      </c>
      <c r="S144" s="218">
        <f t="shared" si="145"/>
        <v>0</v>
      </c>
      <c r="T144" s="218">
        <f t="shared" si="145"/>
        <v>0</v>
      </c>
      <c r="U144" s="208"/>
      <c r="V144" s="208"/>
      <c r="W144" s="208"/>
      <c r="X144" s="208"/>
    </row>
    <row r="145" spans="1:24" x14ac:dyDescent="0.3">
      <c r="A145" s="111" t="s">
        <v>837</v>
      </c>
      <c r="B145" s="111" t="s">
        <v>362</v>
      </c>
      <c r="C145" s="219">
        <v>0</v>
      </c>
      <c r="D145" s="209">
        <f>SUMIFS(gastos!Q:Q,gastos!M:M,ejec_ICPA!B145,gastos!P:P,ejec_ICPA!A145)</f>
        <v>0</v>
      </c>
      <c r="E145" s="209">
        <f>SUMIFS(gastos!R:R,gastos!M:M,ejec_ICPA!B145,gastos!P:P,ejec_ICPA!A145)</f>
        <v>0</v>
      </c>
      <c r="F145" s="209">
        <f>SUMIFS(gastos!S:S,gastos!M:M,ejec_ICPA!B145,gastos!P:P,ejec_ICPA!A145)</f>
        <v>0</v>
      </c>
      <c r="G145" s="209">
        <f>SUMIFS(gastos!T:T,gastos!M:M,ejec_ICPA!B145,gastos!P:P,ejec_ICPA!A145)</f>
        <v>53251837</v>
      </c>
      <c r="H145" s="209">
        <f>SUMIFS(gastos!U:U,gastos!M:M,ejec_ICPA!B145,gastos!P:P,ejec_ICPA!A145)</f>
        <v>0</v>
      </c>
      <c r="I145" s="209">
        <f t="shared" ref="I145" si="146">D145+E145-F145+G145-H145</f>
        <v>53251837</v>
      </c>
      <c r="J145" s="209">
        <f>SUMIFS(gastos!W:W,gastos!M:M,ejec_ICPA!B145,gastos!P:P,ejec_ICPA!A145)</f>
        <v>38711897</v>
      </c>
      <c r="K145" s="209">
        <f>SUMIFS(gastos!X:X,gastos!$M:$M,ejec_ICPA!B145,gastos!$P:$P,ejec_ICPA!A145)</f>
        <v>38711897</v>
      </c>
      <c r="L145" s="209">
        <f>SUMIFS(gastos!$Z:$Z,gastos!$M:$M,ejec_ICPA!$B145,gastos!$P:$P,ejec_ICPA!$A145)</f>
        <v>38711897</v>
      </c>
      <c r="M145" s="209">
        <f>SUMIFS(gastos!$AE:$AE,gastos!$M:$M,ejec_ICPA!$B145,gastos!$P:$P,ejec_ICPA!$A145)</f>
        <v>38711897</v>
      </c>
      <c r="N145" s="209">
        <f>SUMIFS(gastos!AG:AG,gastos!$M:$M,ejec_ICPA!B145,gastos!$P:$P,ejec_ICPA!A145)</f>
        <v>0</v>
      </c>
      <c r="O145" s="209">
        <f>SUMIFS(gastos!AH:AH,gastos!$M:$M,ejec_ICPA!$B145,gastos!$P:$P,ejec_ICPA!$A145)</f>
        <v>0</v>
      </c>
      <c r="P145" s="209">
        <f>SUMIFS(gastos!$AF:$AF,gastos!$M:$M,ejec_ICPA!$B145,gastos!$P:$P,ejec_ICPA!$A145)</f>
        <v>10050000</v>
      </c>
      <c r="Q145" s="209">
        <f>SUMIFS(gastos!AJ:AJ,gastos!$M:$M,ejec_ICPA!$B145,gastos!$P:$P,ejec_ICPA!$A145)</f>
        <v>10050000</v>
      </c>
      <c r="R145" s="209">
        <f t="shared" ref="R145" si="147">K145-L145</f>
        <v>0</v>
      </c>
      <c r="S145" s="209">
        <f t="shared" ref="S145" si="148">L145-J145</f>
        <v>0</v>
      </c>
      <c r="T145" s="209">
        <f t="shared" ref="T145" si="149">J145-M145</f>
        <v>0</v>
      </c>
    </row>
    <row r="146" spans="1:24" x14ac:dyDescent="0.3">
      <c r="A146" s="111" t="s">
        <v>838</v>
      </c>
      <c r="B146" s="111" t="s">
        <v>372</v>
      </c>
      <c r="C146" s="219">
        <v>0</v>
      </c>
      <c r="D146" s="209">
        <f>SUMIFS(gastos!Q:Q,gastos!M:M,ejec_ICPA!B146,gastos!P:P,ejec_ICPA!A146)</f>
        <v>0</v>
      </c>
      <c r="E146" s="209">
        <f>SUMIFS(gastos!R:R,gastos!M:M,ejec_ICPA!B146,gastos!P:P,ejec_ICPA!A146)</f>
        <v>63558656</v>
      </c>
      <c r="F146" s="209">
        <f>SUMIFS(gastos!S:S,gastos!M:M,ejec_ICPA!B146,gastos!P:P,ejec_ICPA!A146)</f>
        <v>0</v>
      </c>
      <c r="G146" s="209">
        <f>SUMIFS(gastos!T:T,gastos!M:M,ejec_ICPA!B146,gastos!P:P,ejec_ICPA!A146)</f>
        <v>55000000</v>
      </c>
      <c r="H146" s="209">
        <f>SUMIFS(gastos!U:U,gastos!M:M,ejec_ICPA!B146,gastos!P:P,ejec_ICPA!A146)</f>
        <v>0</v>
      </c>
      <c r="I146" s="209">
        <f>D146+E146-F146+G146-H146</f>
        <v>118558656</v>
      </c>
      <c r="J146" s="209">
        <f>SUMIFS(gastos!W:W,gastos!M:M,ejec_ICPA!B146,gastos!P:P,ejec_ICPA!A146)</f>
        <v>109592847</v>
      </c>
      <c r="K146" s="209">
        <f>SUMIFS(gastos!X:X,gastos!$M:$M,ejec_ICPA!B146,gastos!$P:$P,ejec_ICPA!A146)</f>
        <v>109592847</v>
      </c>
      <c r="L146" s="209">
        <f>SUMIFS(gastos!$Z:$Z,gastos!$M:$M,ejec_ICPA!$B146,gastos!$P:$P,ejec_ICPA!$A146)</f>
        <v>109592847</v>
      </c>
      <c r="M146" s="209">
        <f>SUMIFS(gastos!$AE:$AE,gastos!$M:$M,ejec_ICPA!$B146,gastos!$P:$P,ejec_ICPA!$A146)</f>
        <v>109592847</v>
      </c>
      <c r="N146" s="209">
        <f>SUMIFS(gastos!AG:AG,gastos!$M:$M,ejec_ICPA!B146,gastos!$P:$P,ejec_ICPA!A146)</f>
        <v>-8898212</v>
      </c>
      <c r="O146" s="209">
        <f>SUMIFS(gastos!AH:AH,gastos!$M:$M,ejec_ICPA!$B146,gastos!$P:$P,ejec_ICPA!$A146)</f>
        <v>0</v>
      </c>
      <c r="P146" s="209">
        <f>SUMIFS(gastos!$AF:$AF,gastos!$M:$M,ejec_ICPA!$B146,gastos!$P:$P,ejec_ICPA!$A146)</f>
        <v>62200000</v>
      </c>
      <c r="Q146" s="209">
        <f>SUMIFS(gastos!AJ:AJ,gastos!$M:$M,ejec_ICPA!$B146,gastos!$P:$P,ejec_ICPA!$A146)</f>
        <v>62200000</v>
      </c>
      <c r="R146" s="209">
        <f>K146-L146</f>
        <v>0</v>
      </c>
      <c r="S146" s="209">
        <f>L146-J146</f>
        <v>0</v>
      </c>
      <c r="T146" s="209">
        <f>J146-M146</f>
        <v>0</v>
      </c>
    </row>
    <row r="147" spans="1:24" x14ac:dyDescent="0.3">
      <c r="A147" s="111" t="s">
        <v>839</v>
      </c>
      <c r="B147" s="111" t="s">
        <v>375</v>
      </c>
      <c r="C147" s="219">
        <v>0</v>
      </c>
      <c r="D147" s="209">
        <f>SUMIFS(gastos!Q:Q,gastos!M:M,ejec_ICPA!B147,gastos!P:P,ejec_ICPA!A147)</f>
        <v>0</v>
      </c>
      <c r="E147" s="209">
        <f>SUMIFS(gastos!R:R,gastos!M:M,ejec_ICPA!B147,gastos!P:P,ejec_ICPA!A147)</f>
        <v>0</v>
      </c>
      <c r="F147" s="209">
        <f>SUMIFS(gastos!S:S,gastos!M:M,ejec_ICPA!B147,gastos!P:P,ejec_ICPA!A147)</f>
        <v>0</v>
      </c>
      <c r="G147" s="209">
        <f>SUMIFS(gastos!T:T,gastos!M:M,ejec_ICPA!B147,gastos!P:P,ejec_ICPA!A147)</f>
        <v>45000000</v>
      </c>
      <c r="H147" s="209">
        <f>SUMIFS(gastos!U:U,gastos!M:M,ejec_ICPA!B147,gastos!P:P,ejec_ICPA!A147)</f>
        <v>0</v>
      </c>
      <c r="I147" s="209">
        <f t="shared" ref="I147" si="150">D147+E147-F147+G147-H147</f>
        <v>45000000</v>
      </c>
      <c r="J147" s="209">
        <f>SUMIFS(gastos!W:W,gastos!M:M,ejec_ICPA!B147,gastos!P:P,ejec_ICPA!A147)</f>
        <v>30000000</v>
      </c>
      <c r="K147" s="209">
        <f>SUMIFS(gastos!X:X,gastos!$M:$M,ejec_ICPA!B147,gastos!$P:$P,ejec_ICPA!A147)</f>
        <v>30000000</v>
      </c>
      <c r="L147" s="209">
        <f>SUMIFS(gastos!$Z:$Z,gastos!$M:$M,ejec_ICPA!$B147,gastos!$P:$P,ejec_ICPA!$A147)</f>
        <v>30000000</v>
      </c>
      <c r="M147" s="209">
        <f>SUMIFS(gastos!$AE:$AE,gastos!$M:$M,ejec_ICPA!$B147,gastos!$P:$P,ejec_ICPA!$A147)</f>
        <v>30000000</v>
      </c>
      <c r="N147" s="209">
        <f>SUMIFS(gastos!AG:AG,gastos!$M:$M,ejec_ICPA!B147,gastos!$P:$P,ejec_ICPA!A147)</f>
        <v>0</v>
      </c>
      <c r="O147" s="209">
        <f>SUMIFS(gastos!AH:AH,gastos!$M:$M,ejec_ICPA!$B147,gastos!$P:$P,ejec_ICPA!$A147)</f>
        <v>0</v>
      </c>
      <c r="P147" s="209">
        <f>SUMIFS(gastos!$AF:$AF,gastos!$M:$M,ejec_ICPA!$B147,gastos!$P:$P,ejec_ICPA!$A147)</f>
        <v>6000000</v>
      </c>
      <c r="Q147" s="209">
        <f>SUMIFS(gastos!AJ:AJ,gastos!$M:$M,ejec_ICPA!$B147,gastos!$P:$P,ejec_ICPA!$A147)</f>
        <v>6000000</v>
      </c>
      <c r="R147" s="209">
        <f t="shared" ref="R147" si="151">K147-L147</f>
        <v>0</v>
      </c>
      <c r="S147" s="209">
        <f t="shared" ref="S147" si="152">L147-J147</f>
        <v>0</v>
      </c>
      <c r="T147" s="209">
        <f t="shared" ref="T147" si="153">J147-M147</f>
        <v>0</v>
      </c>
    </row>
    <row r="148" spans="1:24" s="105" customFormat="1" x14ac:dyDescent="0.3">
      <c r="A148" s="113" t="s">
        <v>709</v>
      </c>
      <c r="B148" s="217" t="s">
        <v>361</v>
      </c>
      <c r="C148" s="218">
        <f>SUM(C149:C153)</f>
        <v>618280150</v>
      </c>
      <c r="D148" s="218">
        <f t="shared" ref="D148:T148" si="154">SUM(D149:D153)</f>
        <v>618280150</v>
      </c>
      <c r="E148" s="218">
        <f t="shared" si="154"/>
        <v>1306167</v>
      </c>
      <c r="F148" s="218">
        <f t="shared" si="154"/>
        <v>0</v>
      </c>
      <c r="G148" s="218">
        <f t="shared" si="154"/>
        <v>0</v>
      </c>
      <c r="H148" s="218">
        <f t="shared" si="154"/>
        <v>0</v>
      </c>
      <c r="I148" s="218">
        <f t="shared" si="154"/>
        <v>619586317</v>
      </c>
      <c r="J148" s="218">
        <f t="shared" si="154"/>
        <v>394049989</v>
      </c>
      <c r="K148" s="218">
        <f t="shared" si="154"/>
        <v>394049989</v>
      </c>
      <c r="L148" s="218">
        <f t="shared" si="154"/>
        <v>394049989</v>
      </c>
      <c r="M148" s="218">
        <f t="shared" si="154"/>
        <v>372089989</v>
      </c>
      <c r="N148" s="218">
        <f t="shared" si="154"/>
        <v>-9913180</v>
      </c>
      <c r="O148" s="218">
        <f t="shared" si="154"/>
        <v>0</v>
      </c>
      <c r="P148" s="218">
        <f t="shared" si="154"/>
        <v>145026600</v>
      </c>
      <c r="Q148" s="218">
        <f t="shared" si="154"/>
        <v>123066600</v>
      </c>
      <c r="R148" s="218">
        <f t="shared" si="154"/>
        <v>0</v>
      </c>
      <c r="S148" s="218">
        <f t="shared" si="154"/>
        <v>0</v>
      </c>
      <c r="T148" s="218">
        <f t="shared" si="154"/>
        <v>21960000</v>
      </c>
      <c r="U148" s="208"/>
      <c r="V148" s="208"/>
      <c r="W148" s="208"/>
      <c r="X148" s="208"/>
    </row>
    <row r="149" spans="1:24" x14ac:dyDescent="0.3">
      <c r="A149" s="111" t="s">
        <v>398</v>
      </c>
      <c r="B149" s="224" t="s">
        <v>397</v>
      </c>
      <c r="C149" s="219">
        <v>10000000</v>
      </c>
      <c r="D149" s="209">
        <f>SUMIFS(gastos!Q:Q,gastos!M:M,ejec_ICPA!B149,gastos!P:P,ejec_ICPA!A149)</f>
        <v>10000000</v>
      </c>
      <c r="E149" s="209">
        <f>SUMIFS(gastos!R:R,gastos!M:M,ejec_ICPA!B149,gastos!P:P,ejec_ICPA!A149)</f>
        <v>0</v>
      </c>
      <c r="F149" s="209">
        <f>SUMIFS(gastos!S:S,gastos!M:M,ejec_ICPA!B149,gastos!P:P,ejec_ICPA!A149)</f>
        <v>0</v>
      </c>
      <c r="G149" s="209">
        <f>SUMIFS(gastos!T:T,gastos!M:M,ejec_ICPA!B149,gastos!P:P,ejec_ICPA!A149)</f>
        <v>0</v>
      </c>
      <c r="H149" s="209">
        <f>SUMIFS(gastos!U:U,gastos!M:M,ejec_ICPA!B149,gastos!P:P,ejec_ICPA!A149)</f>
        <v>0</v>
      </c>
      <c r="I149" s="209">
        <f t="shared" ref="I149:I153" si="155">D149+E149-F149+G149-H149</f>
        <v>10000000</v>
      </c>
      <c r="J149" s="209">
        <f>SUMIFS(gastos!W:W,gastos!M:M,ejec_ICPA!B149,gastos!P:P,ejec_ICPA!A149)</f>
        <v>10000000</v>
      </c>
      <c r="K149" s="209">
        <f>SUMIFS(gastos!X:X,gastos!$M:$M,ejec_ICPA!B149,gastos!$P:$P,ejec_ICPA!A149)</f>
        <v>10000000</v>
      </c>
      <c r="L149" s="209">
        <f>SUMIFS(gastos!$Z:$Z,gastos!$M:$M,ejec_ICPA!$B149,gastos!$P:$P,ejec_ICPA!$A149)</f>
        <v>10000000</v>
      </c>
      <c r="M149" s="209">
        <f>SUMIFS(gastos!$AE:$AE,gastos!$M:$M,ejec_ICPA!$B149,gastos!$P:$P,ejec_ICPA!$A149)</f>
        <v>10000000</v>
      </c>
      <c r="N149" s="209">
        <f>SUMIFS(gastos!AG:AG,gastos!$M:$M,ejec_ICPA!B149,gastos!$P:$P,ejec_ICPA!A149)</f>
        <v>0</v>
      </c>
      <c r="O149" s="209">
        <f>SUMIFS(gastos!AH:AH,gastos!$M:$M,ejec_ICPA!$B149,gastos!$P:$P,ejec_ICPA!$A149)</f>
        <v>0</v>
      </c>
      <c r="P149" s="209">
        <f>SUMIFS(gastos!$AF:$AF,gastos!$M:$M,ejec_ICPA!$B149,gastos!$P:$P,ejec_ICPA!$A149)</f>
        <v>0</v>
      </c>
      <c r="Q149" s="209">
        <f>SUMIFS(gastos!AJ:AJ,gastos!$M:$M,ejec_ICPA!$B149,gastos!$P:$P,ejec_ICPA!$A149)</f>
        <v>0</v>
      </c>
      <c r="R149" s="209">
        <f t="shared" ref="R149:R153" si="156">K149-L149</f>
        <v>0</v>
      </c>
      <c r="S149" s="209">
        <f t="shared" ref="S149:S153" si="157">L149-J149</f>
        <v>0</v>
      </c>
      <c r="T149" s="209">
        <f t="shared" ref="T149:T153" si="158">J149-M149</f>
        <v>0</v>
      </c>
    </row>
    <row r="150" spans="1:24" x14ac:dyDescent="0.3">
      <c r="A150" s="111" t="s">
        <v>401</v>
      </c>
      <c r="B150" s="223" t="s">
        <v>400</v>
      </c>
      <c r="C150" s="219">
        <v>60000000</v>
      </c>
      <c r="D150" s="209">
        <f>SUMIFS(gastos!Q:Q,gastos!M:M,ejec_ICPA!B150,gastos!P:P,ejec_ICPA!A150)</f>
        <v>60000000</v>
      </c>
      <c r="E150" s="209">
        <f>SUMIFS(gastos!R:R,gastos!M:M,ejec_ICPA!B150,gastos!P:P,ejec_ICPA!A150)</f>
        <v>0</v>
      </c>
      <c r="F150" s="209">
        <f>SUMIFS(gastos!S:S,gastos!M:M,ejec_ICPA!B150,gastos!P:P,ejec_ICPA!A150)</f>
        <v>0</v>
      </c>
      <c r="G150" s="209">
        <f>SUMIFS(gastos!T:T,gastos!M:M,ejec_ICPA!B150,gastos!P:P,ejec_ICPA!A150)</f>
        <v>0</v>
      </c>
      <c r="H150" s="209">
        <f>SUMIFS(gastos!U:U,gastos!M:M,ejec_ICPA!B150,gastos!P:P,ejec_ICPA!A150)</f>
        <v>0</v>
      </c>
      <c r="I150" s="209">
        <f t="shared" si="155"/>
        <v>60000000</v>
      </c>
      <c r="J150" s="209">
        <f>SUMIFS(gastos!W:W,gastos!M:M,ejec_ICPA!B150,gastos!P:P,ejec_ICPA!A150)</f>
        <v>19998000</v>
      </c>
      <c r="K150" s="209">
        <f>SUMIFS(gastos!X:X,gastos!$M:$M,ejec_ICPA!B150,gastos!$P:$P,ejec_ICPA!A150)</f>
        <v>19998000</v>
      </c>
      <c r="L150" s="209">
        <f>SUMIFS(gastos!$Z:$Z,gastos!$M:$M,ejec_ICPA!$B150,gastos!$P:$P,ejec_ICPA!$A150)</f>
        <v>19998000</v>
      </c>
      <c r="M150" s="209">
        <f>SUMIFS(gastos!$AE:$AE,gastos!$M:$M,ejec_ICPA!$B150,gastos!$P:$P,ejec_ICPA!$A150)</f>
        <v>19998000</v>
      </c>
      <c r="N150" s="209">
        <f>SUMIFS(gastos!AG:AG,gastos!$M:$M,ejec_ICPA!B150,gastos!$P:$P,ejec_ICPA!A150)</f>
        <v>0</v>
      </c>
      <c r="O150" s="209">
        <f>SUMIFS(gastos!AH:AH,gastos!$M:$M,ejec_ICPA!$B150,gastos!$P:$P,ejec_ICPA!$A150)</f>
        <v>0</v>
      </c>
      <c r="P150" s="209">
        <f>SUMIFS(gastos!$AF:$AF,gastos!$M:$M,ejec_ICPA!$B150,gastos!$P:$P,ejec_ICPA!$A150)</f>
        <v>5999400</v>
      </c>
      <c r="Q150" s="209">
        <f>SUMIFS(gastos!AJ:AJ,gastos!$M:$M,ejec_ICPA!$B150,gastos!$P:$P,ejec_ICPA!$A150)</f>
        <v>5999400</v>
      </c>
      <c r="R150" s="209">
        <f t="shared" si="156"/>
        <v>0</v>
      </c>
      <c r="S150" s="209">
        <f t="shared" si="157"/>
        <v>0</v>
      </c>
      <c r="T150" s="209">
        <f t="shared" si="158"/>
        <v>0</v>
      </c>
    </row>
    <row r="151" spans="1:24" x14ac:dyDescent="0.3">
      <c r="A151" s="111" t="s">
        <v>404</v>
      </c>
      <c r="B151" s="215" t="s">
        <v>403</v>
      </c>
      <c r="C151" s="219">
        <v>209045154</v>
      </c>
      <c r="D151" s="209">
        <f>SUMIFS(gastos!Q:Q,gastos!M:M,ejec_ICPA!B151,gastos!P:P,ejec_ICPA!A151)</f>
        <v>209045154</v>
      </c>
      <c r="E151" s="209">
        <f>SUMIFS(gastos!R:R,gastos!M:M,ejec_ICPA!B151,gastos!P:P,ejec_ICPA!A151)</f>
        <v>1306167</v>
      </c>
      <c r="F151" s="209">
        <f>SUMIFS(gastos!S:S,gastos!M:M,ejec_ICPA!B151,gastos!P:P,ejec_ICPA!A151)</f>
        <v>0</v>
      </c>
      <c r="G151" s="209">
        <f>SUMIFS(gastos!T:T,gastos!M:M,ejec_ICPA!B151,gastos!P:P,ejec_ICPA!A151)</f>
        <v>0</v>
      </c>
      <c r="H151" s="209">
        <f>SUMIFS(gastos!U:U,gastos!M:M,ejec_ICPA!B151,gastos!P:P,ejec_ICPA!A151)</f>
        <v>0</v>
      </c>
      <c r="I151" s="209">
        <f t="shared" si="155"/>
        <v>210351321</v>
      </c>
      <c r="J151" s="209">
        <f>SUMIFS(gastos!W:W,gastos!M:M,ejec_ICPA!B151,gastos!P:P,ejec_ICPA!A151)</f>
        <v>175243509</v>
      </c>
      <c r="K151" s="209">
        <f>SUMIFS(gastos!X:X,gastos!$M:$M,ejec_ICPA!B151,gastos!$P:$P,ejec_ICPA!A151)</f>
        <v>175243509</v>
      </c>
      <c r="L151" s="209">
        <f>SUMIFS(gastos!$Z:$Z,gastos!$M:$M,ejec_ICPA!$B151,gastos!$P:$P,ejec_ICPA!$A151)</f>
        <v>175243509</v>
      </c>
      <c r="M151" s="209">
        <f>SUMIFS(gastos!$AE:$AE,gastos!$M:$M,ejec_ICPA!$B151,gastos!$P:$P,ejec_ICPA!$A151)</f>
        <v>175243509</v>
      </c>
      <c r="N151" s="209">
        <f>SUMIFS(gastos!AG:AG,gastos!$M:$M,ejec_ICPA!B151,gastos!$P:$P,ejec_ICPA!A151)</f>
        <v>-9912380</v>
      </c>
      <c r="O151" s="209">
        <f>SUMIFS(gastos!AH:AH,gastos!$M:$M,ejec_ICPA!$B151,gastos!$P:$P,ejec_ICPA!$A151)</f>
        <v>0</v>
      </c>
      <c r="P151" s="209">
        <f>SUMIFS(gastos!$AF:$AF,gastos!$M:$M,ejec_ICPA!$B151,gastos!$P:$P,ejec_ICPA!$A151)</f>
        <v>39500000</v>
      </c>
      <c r="Q151" s="209">
        <f>SUMIFS(gastos!AJ:AJ,gastos!$M:$M,ejec_ICPA!$B151,gastos!$P:$P,ejec_ICPA!$A151)</f>
        <v>39500000</v>
      </c>
      <c r="R151" s="209">
        <f t="shared" si="156"/>
        <v>0</v>
      </c>
      <c r="S151" s="209">
        <f t="shared" si="157"/>
        <v>0</v>
      </c>
      <c r="T151" s="209">
        <f t="shared" si="158"/>
        <v>0</v>
      </c>
    </row>
    <row r="152" spans="1:24" x14ac:dyDescent="0.3">
      <c r="A152" s="111" t="s">
        <v>407</v>
      </c>
      <c r="B152" s="224" t="s">
        <v>406</v>
      </c>
      <c r="C152" s="219">
        <v>273237716</v>
      </c>
      <c r="D152" s="209">
        <f>SUMIFS(gastos!Q:Q,gastos!M:M,ejec_ICPA!B152,gastos!P:P,ejec_ICPA!A152)</f>
        <v>273237716</v>
      </c>
      <c r="E152" s="209">
        <f>SUMIFS(gastos!R:R,gastos!M:M,ejec_ICPA!B152,gastos!P:P,ejec_ICPA!A152)</f>
        <v>0</v>
      </c>
      <c r="F152" s="209">
        <f>SUMIFS(gastos!S:S,gastos!M:M,ejec_ICPA!B152,gastos!P:P,ejec_ICPA!A152)</f>
        <v>0</v>
      </c>
      <c r="G152" s="209">
        <f>SUMIFS(gastos!T:T,gastos!M:M,ejec_ICPA!B152,gastos!P:P,ejec_ICPA!A152)</f>
        <v>0</v>
      </c>
      <c r="H152" s="209">
        <f>SUMIFS(gastos!U:U,gastos!M:M,ejec_ICPA!B152,gastos!P:P,ejec_ICPA!A152)</f>
        <v>0</v>
      </c>
      <c r="I152" s="209">
        <f>D152+E152-F152+G152-H152</f>
        <v>273237716</v>
      </c>
      <c r="J152" s="209">
        <f>SUMIFS(gastos!W:W,gastos!M:M,ejec_ICPA!B152,gastos!P:P,ejec_ICPA!A152)</f>
        <v>122811200</v>
      </c>
      <c r="K152" s="209">
        <f>SUMIFS(gastos!X:X,gastos!$M:$M,ejec_ICPA!B152,gastos!$P:$P,ejec_ICPA!A152)</f>
        <v>122811200</v>
      </c>
      <c r="L152" s="209">
        <f>SUMIFS(gastos!$Z:$Z,gastos!$M:$M,ejec_ICPA!$B152,gastos!$P:$P,ejec_ICPA!$A152)</f>
        <v>122811200</v>
      </c>
      <c r="M152" s="209">
        <f>SUMIFS(gastos!$AE:$AE,gastos!$M:$M,ejec_ICPA!$B152,gastos!$P:$P,ejec_ICPA!$A152)</f>
        <v>122811200</v>
      </c>
      <c r="N152" s="209">
        <f>SUMIFS(gastos!AG:AG,gastos!$M:$M,ejec_ICPA!B152,gastos!$P:$P,ejec_ICPA!A152)</f>
        <v>-800</v>
      </c>
      <c r="O152" s="209">
        <f>SUMIFS(gastos!AH:AH,gastos!$M:$M,ejec_ICPA!$B152,gastos!$P:$P,ejec_ICPA!$A152)</f>
        <v>0</v>
      </c>
      <c r="P152" s="209">
        <f>SUMIFS(gastos!$AF:$AF,gastos!$M:$M,ejec_ICPA!$B152,gastos!$P:$P,ejec_ICPA!$A152)</f>
        <v>65687200</v>
      </c>
      <c r="Q152" s="209">
        <f>SUMIFS(gastos!AJ:AJ,gastos!$M:$M,ejec_ICPA!$B152,gastos!$P:$P,ejec_ICPA!$A152)</f>
        <v>65687200</v>
      </c>
      <c r="R152" s="209">
        <f>K152-L152</f>
        <v>0</v>
      </c>
      <c r="S152" s="209">
        <f>L152-J152</f>
        <v>0</v>
      </c>
      <c r="T152" s="209">
        <f>J152-M152</f>
        <v>0</v>
      </c>
    </row>
    <row r="153" spans="1:24" x14ac:dyDescent="0.3">
      <c r="A153" s="111" t="s">
        <v>395</v>
      </c>
      <c r="B153" s="223" t="s">
        <v>369</v>
      </c>
      <c r="C153" s="219">
        <v>65997280</v>
      </c>
      <c r="D153" s="209">
        <f>SUMIFS(gastos!Q:Q,gastos!M:M,ejec_ICPA!B153,gastos!P:P,ejec_ICPA!A153)</f>
        <v>65997280</v>
      </c>
      <c r="E153" s="209">
        <f>SUMIFS(gastos!R:R,gastos!M:M,ejec_ICPA!B153,gastos!P:P,ejec_ICPA!A153)</f>
        <v>0</v>
      </c>
      <c r="F153" s="209">
        <f>SUMIFS(gastos!S:S,gastos!M:M,ejec_ICPA!B153,gastos!P:P,ejec_ICPA!A153)</f>
        <v>0</v>
      </c>
      <c r="G153" s="209">
        <f>SUMIFS(gastos!T:T,gastos!M:M,ejec_ICPA!B153,gastos!P:P,ejec_ICPA!A153)</f>
        <v>0</v>
      </c>
      <c r="H153" s="209">
        <f>SUMIFS(gastos!U:U,gastos!M:M,ejec_ICPA!B153,gastos!P:P,ejec_ICPA!A153)</f>
        <v>0</v>
      </c>
      <c r="I153" s="209">
        <f t="shared" si="155"/>
        <v>65997280</v>
      </c>
      <c r="J153" s="209">
        <f>SUMIFS(gastos!W:W,gastos!M:M,ejec_ICPA!B153,gastos!P:P,ejec_ICPA!A153)</f>
        <v>65997280</v>
      </c>
      <c r="K153" s="209">
        <f>SUMIFS(gastos!X:X,gastos!$M:$M,ejec_ICPA!B153,gastos!$P:$P,ejec_ICPA!A153)</f>
        <v>65997280</v>
      </c>
      <c r="L153" s="209">
        <f>SUMIFS(gastos!$Z:$Z,gastos!$M:$M,ejec_ICPA!$B153,gastos!$P:$P,ejec_ICPA!$A153)</f>
        <v>65997280</v>
      </c>
      <c r="M153" s="209">
        <f>SUMIFS(gastos!$AE:$AE,gastos!$M:$M,ejec_ICPA!$B153,gastos!$P:$P,ejec_ICPA!$A153)</f>
        <v>44037280</v>
      </c>
      <c r="N153" s="209">
        <f>SUMIFS(gastos!AG:AG,gastos!$M:$M,ejec_ICPA!B153,gastos!$P:$P,ejec_ICPA!A153)</f>
        <v>0</v>
      </c>
      <c r="O153" s="209">
        <f>SUMIFS(gastos!AH:AH,gastos!$M:$M,ejec_ICPA!$B153,gastos!$P:$P,ejec_ICPA!$A153)</f>
        <v>0</v>
      </c>
      <c r="P153" s="209">
        <f>SUMIFS(gastos!$AF:$AF,gastos!$M:$M,ejec_ICPA!$B153,gastos!$P:$P,ejec_ICPA!$A153)</f>
        <v>33840000</v>
      </c>
      <c r="Q153" s="209">
        <f>SUMIFS(gastos!AJ:AJ,gastos!$M:$M,ejec_ICPA!$B153,gastos!$P:$P,ejec_ICPA!$A153)</f>
        <v>11880000</v>
      </c>
      <c r="R153" s="209">
        <f t="shared" si="156"/>
        <v>0</v>
      </c>
      <c r="S153" s="209">
        <f t="shared" si="157"/>
        <v>0</v>
      </c>
      <c r="T153" s="209">
        <f t="shared" si="158"/>
        <v>21960000</v>
      </c>
    </row>
    <row r="154" spans="1:24" s="105" customFormat="1" x14ac:dyDescent="0.3">
      <c r="A154" s="113" t="s">
        <v>888</v>
      </c>
      <c r="B154" s="217" t="s">
        <v>361</v>
      </c>
      <c r="C154" s="218">
        <f>SUM(C155:C157)</f>
        <v>0</v>
      </c>
      <c r="D154" s="218">
        <f t="shared" ref="D154:T154" si="159">SUM(D155:D157)</f>
        <v>0</v>
      </c>
      <c r="E154" s="218">
        <f t="shared" si="159"/>
        <v>536589987</v>
      </c>
      <c r="F154" s="218">
        <f t="shared" si="159"/>
        <v>0</v>
      </c>
      <c r="G154" s="218">
        <f t="shared" si="159"/>
        <v>0</v>
      </c>
      <c r="H154" s="218">
        <f t="shared" si="159"/>
        <v>45000000</v>
      </c>
      <c r="I154" s="218">
        <f t="shared" si="159"/>
        <v>491589987</v>
      </c>
      <c r="J154" s="218">
        <f t="shared" si="159"/>
        <v>281718533</v>
      </c>
      <c r="K154" s="218">
        <f t="shared" si="159"/>
        <v>281718533</v>
      </c>
      <c r="L154" s="218">
        <f t="shared" si="159"/>
        <v>281718533</v>
      </c>
      <c r="M154" s="218">
        <f t="shared" si="159"/>
        <v>281718533</v>
      </c>
      <c r="N154" s="218">
        <f t="shared" si="159"/>
        <v>-52565410</v>
      </c>
      <c r="O154" s="218">
        <f t="shared" si="159"/>
        <v>0</v>
      </c>
      <c r="P154" s="218">
        <f t="shared" si="159"/>
        <v>450000</v>
      </c>
      <c r="Q154" s="218">
        <f t="shared" si="159"/>
        <v>450000</v>
      </c>
      <c r="R154" s="218">
        <f t="shared" si="159"/>
        <v>0</v>
      </c>
      <c r="S154" s="218">
        <f t="shared" si="159"/>
        <v>0</v>
      </c>
      <c r="T154" s="218">
        <f t="shared" si="159"/>
        <v>0</v>
      </c>
      <c r="U154" s="208"/>
      <c r="V154" s="208"/>
      <c r="W154" s="208"/>
      <c r="X154" s="208"/>
    </row>
    <row r="155" spans="1:24" x14ac:dyDescent="0.3">
      <c r="A155" s="111" t="s">
        <v>840</v>
      </c>
      <c r="B155" s="111" t="s">
        <v>400</v>
      </c>
      <c r="C155" s="219">
        <v>0</v>
      </c>
      <c r="D155" s="209">
        <f>SUMIFS(gastos!Q:Q,gastos!M:M,ejec_ICPA!B155,gastos!P:P,ejec_ICPA!A155)</f>
        <v>0</v>
      </c>
      <c r="E155" s="209">
        <f>SUMIFS(gastos!R:R,gastos!M:M,ejec_ICPA!B155,gastos!P:P,ejec_ICPA!A155)</f>
        <v>363558656</v>
      </c>
      <c r="F155" s="209">
        <f>SUMIFS(gastos!S:S,gastos!M:M,ejec_ICPA!B155,gastos!P:P,ejec_ICPA!A155)</f>
        <v>0</v>
      </c>
      <c r="G155" s="209">
        <f>SUMIFS(gastos!T:T,gastos!M:M,ejec_ICPA!B155,gastos!P:P,ejec_ICPA!A155)</f>
        <v>0</v>
      </c>
      <c r="H155" s="209">
        <f>SUMIFS(gastos!U:U,gastos!M:M,ejec_ICPA!B155,gastos!P:P,ejec_ICPA!A155)</f>
        <v>0</v>
      </c>
      <c r="I155" s="209">
        <f>D155+E155-F155+G155-H155</f>
        <v>363558656</v>
      </c>
      <c r="J155" s="209">
        <f>SUMIFS(gastos!W:W,gastos!M:M,ejec_ICPA!B155,gastos!P:P,ejec_ICPA!A155)</f>
        <v>210532837</v>
      </c>
      <c r="K155" s="209">
        <f>SUMIFS(gastos!X:X,gastos!$M:$M,ejec_ICPA!B155,gastos!$P:$P,ejec_ICPA!A155)</f>
        <v>210532837</v>
      </c>
      <c r="L155" s="209">
        <f>SUMIFS(gastos!$Z:$Z,gastos!$M:$M,ejec_ICPA!$B155,gastos!$P:$P,ejec_ICPA!$A155)</f>
        <v>210532837</v>
      </c>
      <c r="M155" s="209">
        <f>SUMIFS(gastos!$AE:$AE,gastos!$M:$M,ejec_ICPA!$B155,gastos!$P:$P,ejec_ICPA!$A155)</f>
        <v>210532837</v>
      </c>
      <c r="N155" s="209">
        <f>SUMIFS(gastos!AG:AG,gastos!$M:$M,ejec_ICPA!B155,gastos!$P:$P,ejec_ICPA!A155)</f>
        <v>-34768988</v>
      </c>
      <c r="O155" s="209">
        <f>SUMIFS(gastos!AH:AH,gastos!$M:$M,ejec_ICPA!$B155,gastos!$P:$P,ejec_ICPA!$A155)</f>
        <v>0</v>
      </c>
      <c r="P155" s="209">
        <f>SUMIFS(gastos!$AF:$AF,gastos!$M:$M,ejec_ICPA!$B155,gastos!$P:$P,ejec_ICPA!$A155)</f>
        <v>450000</v>
      </c>
      <c r="Q155" s="209">
        <f>SUMIFS(gastos!AJ:AJ,gastos!$M:$M,ejec_ICPA!$B155,gastos!$P:$P,ejec_ICPA!$A155)</f>
        <v>450000</v>
      </c>
      <c r="R155" s="209">
        <f>K155-L155</f>
        <v>0</v>
      </c>
      <c r="S155" s="209">
        <f>L155-J155</f>
        <v>0</v>
      </c>
      <c r="T155" s="209">
        <f>J155-M155</f>
        <v>0</v>
      </c>
    </row>
    <row r="156" spans="1:24" x14ac:dyDescent="0.3">
      <c r="A156" s="111" t="s">
        <v>841</v>
      </c>
      <c r="B156" s="111" t="s">
        <v>403</v>
      </c>
      <c r="C156" s="219">
        <v>0</v>
      </c>
      <c r="D156" s="209">
        <f>SUMIFS(gastos!Q:Q,gastos!M:M,ejec_ICPA!B156,gastos!P:P,ejec_ICPA!A156)</f>
        <v>0</v>
      </c>
      <c r="E156" s="209">
        <f>SUMIFS(gastos!R:R,gastos!M:M,ejec_ICPA!B156,gastos!P:P,ejec_ICPA!A156)</f>
        <v>109472675</v>
      </c>
      <c r="F156" s="209">
        <f>SUMIFS(gastos!S:S,gastos!M:M,ejec_ICPA!B156,gastos!P:P,ejec_ICPA!A156)</f>
        <v>0</v>
      </c>
      <c r="G156" s="209">
        <f>SUMIFS(gastos!T:T,gastos!M:M,ejec_ICPA!B156,gastos!P:P,ejec_ICPA!A156)</f>
        <v>0</v>
      </c>
      <c r="H156" s="209">
        <f>SUMIFS(gastos!U:U,gastos!M:M,ejec_ICPA!B156,gastos!P:P,ejec_ICPA!A156)</f>
        <v>45000000</v>
      </c>
      <c r="I156" s="209">
        <f>D156+E156-F156+G156-H156</f>
        <v>64472675</v>
      </c>
      <c r="J156" s="209">
        <f>SUMIFS(gastos!W:W,gastos!M:M,ejec_ICPA!B156,gastos!P:P,ejec_ICPA!A156)</f>
        <v>35592848</v>
      </c>
      <c r="K156" s="209">
        <f>SUMIFS(gastos!X:X,gastos!$M:$M,ejec_ICPA!B156,gastos!$P:$P,ejec_ICPA!A156)</f>
        <v>35592848</v>
      </c>
      <c r="L156" s="209">
        <f>SUMIFS(gastos!$Z:$Z,gastos!$M:$M,ejec_ICPA!$B156,gastos!$P:$P,ejec_ICPA!$A156)</f>
        <v>35592848</v>
      </c>
      <c r="M156" s="209">
        <f>SUMIFS(gastos!$AE:$AE,gastos!$M:$M,ejec_ICPA!$B156,gastos!$P:$P,ejec_ICPA!$A156)</f>
        <v>35592848</v>
      </c>
      <c r="N156" s="209">
        <f>SUMIFS(gastos!AG:AG,gastos!$M:$M,ejec_ICPA!B156,gastos!$P:$P,ejec_ICPA!A156)</f>
        <v>-8898211</v>
      </c>
      <c r="O156" s="209">
        <f>SUMIFS(gastos!AH:AH,gastos!$M:$M,ejec_ICPA!$B156,gastos!$P:$P,ejec_ICPA!$A156)</f>
        <v>0</v>
      </c>
      <c r="P156" s="209">
        <f>SUMIFS(gastos!$AF:$AF,gastos!$M:$M,ejec_ICPA!$B156,gastos!$P:$P,ejec_ICPA!$A156)</f>
        <v>0</v>
      </c>
      <c r="Q156" s="209">
        <f>SUMIFS(gastos!AJ:AJ,gastos!$M:$M,ejec_ICPA!$B156,gastos!$P:$P,ejec_ICPA!$A156)</f>
        <v>0</v>
      </c>
      <c r="R156" s="209">
        <f>K156-L156</f>
        <v>0</v>
      </c>
      <c r="S156" s="209">
        <f>L156-J156</f>
        <v>0</v>
      </c>
      <c r="T156" s="209">
        <f>J156-M156</f>
        <v>0</v>
      </c>
    </row>
    <row r="157" spans="1:24" x14ac:dyDescent="0.3">
      <c r="A157" s="111" t="s">
        <v>842</v>
      </c>
      <c r="B157" s="111" t="s">
        <v>406</v>
      </c>
      <c r="C157" s="219">
        <v>0</v>
      </c>
      <c r="D157" s="209">
        <f>SUMIFS(gastos!Q:Q,gastos!M:M,ejec_ICPA!B157,gastos!P:P,ejec_ICPA!A157)</f>
        <v>0</v>
      </c>
      <c r="E157" s="209">
        <f>SUMIFS(gastos!R:R,gastos!M:M,ejec_ICPA!B157,gastos!P:P,ejec_ICPA!A157)</f>
        <v>63558656</v>
      </c>
      <c r="F157" s="209">
        <f>SUMIFS(gastos!S:S,gastos!M:M,ejec_ICPA!B157,gastos!P:P,ejec_ICPA!A157)</f>
        <v>0</v>
      </c>
      <c r="G157" s="209">
        <f>SUMIFS(gastos!T:T,gastos!M:M,ejec_ICPA!B157,gastos!P:P,ejec_ICPA!A157)</f>
        <v>0</v>
      </c>
      <c r="H157" s="209">
        <f>SUMIFS(gastos!U:U,gastos!M:M,ejec_ICPA!B157,gastos!P:P,ejec_ICPA!A157)</f>
        <v>0</v>
      </c>
      <c r="I157" s="209">
        <f>D157+E157-F157+G157-H157</f>
        <v>63558656</v>
      </c>
      <c r="J157" s="209">
        <f>SUMIFS(gastos!W:W,gastos!M:M,ejec_ICPA!B157,gastos!P:P,ejec_ICPA!A157)</f>
        <v>35592848</v>
      </c>
      <c r="K157" s="209">
        <f>SUMIFS(gastos!X:X,gastos!$M:$M,ejec_ICPA!B157,gastos!$P:$P,ejec_ICPA!A157)</f>
        <v>35592848</v>
      </c>
      <c r="L157" s="209">
        <f>SUMIFS(gastos!$Z:$Z,gastos!$M:$M,ejec_ICPA!$B157,gastos!$P:$P,ejec_ICPA!$A157)</f>
        <v>35592848</v>
      </c>
      <c r="M157" s="209">
        <f>SUMIFS(gastos!$AE:$AE,gastos!$M:$M,ejec_ICPA!$B157,gastos!$P:$P,ejec_ICPA!$A157)</f>
        <v>35592848</v>
      </c>
      <c r="N157" s="209">
        <f>SUMIFS(gastos!AG:AG,gastos!$M:$M,ejec_ICPA!B157,gastos!$P:$P,ejec_ICPA!A157)</f>
        <v>-8898211</v>
      </c>
      <c r="O157" s="209">
        <f>SUMIFS(gastos!AH:AH,gastos!$M:$M,ejec_ICPA!$B157,gastos!$P:$P,ejec_ICPA!$A157)</f>
        <v>0</v>
      </c>
      <c r="P157" s="209">
        <f>SUMIFS(gastos!$AF:$AF,gastos!$M:$M,ejec_ICPA!$B157,gastos!$P:$P,ejec_ICPA!$A157)</f>
        <v>0</v>
      </c>
      <c r="Q157" s="209">
        <f>SUMIFS(gastos!AJ:AJ,gastos!$M:$M,ejec_ICPA!$B157,gastos!$P:$P,ejec_ICPA!$A157)</f>
        <v>0</v>
      </c>
      <c r="R157" s="209">
        <f>K157-L157</f>
        <v>0</v>
      </c>
      <c r="S157" s="209">
        <f>L157-J157</f>
        <v>0</v>
      </c>
      <c r="T157" s="209">
        <f>J157-M157</f>
        <v>0</v>
      </c>
    </row>
    <row r="158" spans="1:24" s="105" customFormat="1" x14ac:dyDescent="0.3">
      <c r="A158" s="113" t="s">
        <v>710</v>
      </c>
      <c r="B158" s="217" t="s">
        <v>384</v>
      </c>
      <c r="C158" s="218">
        <f>SUM(C159:C162)</f>
        <v>530937618</v>
      </c>
      <c r="D158" s="218">
        <f t="shared" ref="D158:T158" si="160">SUM(D159:D162)</f>
        <v>530937618</v>
      </c>
      <c r="E158" s="218">
        <f t="shared" si="160"/>
        <v>100000000</v>
      </c>
      <c r="F158" s="218">
        <f t="shared" si="160"/>
        <v>0</v>
      </c>
      <c r="G158" s="218">
        <f t="shared" si="160"/>
        <v>48000000</v>
      </c>
      <c r="H158" s="218">
        <f t="shared" si="160"/>
        <v>48000000</v>
      </c>
      <c r="I158" s="218">
        <f t="shared" si="160"/>
        <v>630937618</v>
      </c>
      <c r="J158" s="218">
        <f t="shared" si="160"/>
        <v>595313798</v>
      </c>
      <c r="K158" s="218">
        <f t="shared" si="160"/>
        <v>595313798</v>
      </c>
      <c r="L158" s="218">
        <f t="shared" si="160"/>
        <v>595313798</v>
      </c>
      <c r="M158" s="218">
        <f t="shared" si="160"/>
        <v>595313798</v>
      </c>
      <c r="N158" s="218">
        <f t="shared" si="160"/>
        <v>-17025001</v>
      </c>
      <c r="O158" s="218">
        <f t="shared" si="160"/>
        <v>0</v>
      </c>
      <c r="P158" s="218">
        <f t="shared" si="160"/>
        <v>109797497</v>
      </c>
      <c r="Q158" s="218">
        <f t="shared" si="160"/>
        <v>109797497</v>
      </c>
      <c r="R158" s="218">
        <f t="shared" si="160"/>
        <v>0</v>
      </c>
      <c r="S158" s="218">
        <f t="shared" si="160"/>
        <v>0</v>
      </c>
      <c r="T158" s="218">
        <f t="shared" si="160"/>
        <v>0</v>
      </c>
      <c r="U158" s="208"/>
      <c r="V158" s="208"/>
      <c r="W158" s="208"/>
      <c r="X158" s="208"/>
    </row>
    <row r="159" spans="1:24" x14ac:dyDescent="0.3">
      <c r="A159" s="111" t="s">
        <v>386</v>
      </c>
      <c r="B159" s="224" t="s">
        <v>385</v>
      </c>
      <c r="C159" s="219">
        <v>195000000</v>
      </c>
      <c r="D159" s="209">
        <f>SUMIFS(gastos!Q:Q,gastos!M:M,ejec_ICPA!B159,gastos!P:P,ejec_ICPA!A159)</f>
        <v>195000000</v>
      </c>
      <c r="E159" s="209">
        <f>SUMIFS(gastos!R:R,gastos!M:M,ejec_ICPA!B159,gastos!P:P,ejec_ICPA!A159)</f>
        <v>0</v>
      </c>
      <c r="F159" s="209">
        <f>SUMIFS(gastos!S:S,gastos!M:M,ejec_ICPA!B159,gastos!P:P,ejec_ICPA!A159)</f>
        <v>0</v>
      </c>
      <c r="G159" s="209">
        <f>SUMIFS(gastos!T:T,gastos!M:M,ejec_ICPA!B159,gastos!P:P,ejec_ICPA!A159)</f>
        <v>0</v>
      </c>
      <c r="H159" s="209">
        <f>SUMIFS(gastos!U:U,gastos!M:M,ejec_ICPA!B159,gastos!P:P,ejec_ICPA!A159)</f>
        <v>0</v>
      </c>
      <c r="I159" s="209">
        <f t="shared" ref="I159:I162" si="161">D159+E159-F159+G159-H159</f>
        <v>195000000</v>
      </c>
      <c r="J159" s="209">
        <f>SUMIFS(gastos!W:W,gastos!M:M,ejec_ICPA!B159,gastos!P:P,ejec_ICPA!A159)</f>
        <v>192680000</v>
      </c>
      <c r="K159" s="209">
        <f>SUMIFS(gastos!X:X,gastos!$M:$M,ejec_ICPA!B159,gastos!$P:$P,ejec_ICPA!A159)</f>
        <v>192680000</v>
      </c>
      <c r="L159" s="209">
        <f>SUMIFS(gastos!$Z:$Z,gastos!$M:$M,ejec_ICPA!$B159,gastos!$P:$P,ejec_ICPA!$A159)</f>
        <v>192680000</v>
      </c>
      <c r="M159" s="209">
        <f>SUMIFS(gastos!$AE:$AE,gastos!$M:$M,ejec_ICPA!$B159,gastos!$P:$P,ejec_ICPA!$A159)</f>
        <v>192680000</v>
      </c>
      <c r="N159" s="209">
        <f>SUMIFS(gastos!AG:AG,gastos!$M:$M,ejec_ICPA!B159,gastos!$P:$P,ejec_ICPA!A159)</f>
        <v>-525000</v>
      </c>
      <c r="O159" s="209">
        <f>SUMIFS(gastos!AH:AH,gastos!$M:$M,ejec_ICPA!$B159,gastos!$P:$P,ejec_ICPA!$A159)</f>
        <v>0</v>
      </c>
      <c r="P159" s="209">
        <f>SUMIFS(gastos!$AF:$AF,gastos!$M:$M,ejec_ICPA!$B159,gastos!$P:$P,ejec_ICPA!$A159)</f>
        <v>0</v>
      </c>
      <c r="Q159" s="209">
        <f>SUMIFS(gastos!AJ:AJ,gastos!$M:$M,ejec_ICPA!$B159,gastos!$P:$P,ejec_ICPA!$A159)</f>
        <v>0</v>
      </c>
      <c r="R159" s="209">
        <f t="shared" ref="R159:R162" si="162">K159-L159</f>
        <v>0</v>
      </c>
      <c r="S159" s="209">
        <f t="shared" ref="S159:S162" si="163">L159-J159</f>
        <v>0</v>
      </c>
      <c r="T159" s="209">
        <f t="shared" ref="T159:T162" si="164">J159-M159</f>
        <v>0</v>
      </c>
    </row>
    <row r="160" spans="1:24" x14ac:dyDescent="0.3">
      <c r="A160" s="111" t="s">
        <v>389</v>
      </c>
      <c r="B160" s="224" t="s">
        <v>388</v>
      </c>
      <c r="C160" s="219">
        <v>5000000</v>
      </c>
      <c r="D160" s="209">
        <f>SUMIFS(gastos!Q:Q,gastos!M:M,ejec_ICPA!B160,gastos!P:P,ejec_ICPA!A160)</f>
        <v>5000000</v>
      </c>
      <c r="E160" s="209">
        <f>SUMIFS(gastos!R:R,gastos!M:M,ejec_ICPA!B160,gastos!P:P,ejec_ICPA!A160)</f>
        <v>100000000</v>
      </c>
      <c r="F160" s="209">
        <f>SUMIFS(gastos!S:S,gastos!M:M,ejec_ICPA!B160,gastos!P:P,ejec_ICPA!A160)</f>
        <v>0</v>
      </c>
      <c r="G160" s="209">
        <f>SUMIFS(gastos!T:T,gastos!M:M,ejec_ICPA!B160,gastos!P:P,ejec_ICPA!A160)</f>
        <v>0</v>
      </c>
      <c r="H160" s="209">
        <f>SUMIFS(gastos!U:U,gastos!M:M,ejec_ICPA!B160,gastos!P:P,ejec_ICPA!A160)</f>
        <v>0</v>
      </c>
      <c r="I160" s="209">
        <f t="shared" si="161"/>
        <v>105000000</v>
      </c>
      <c r="J160" s="209">
        <f>SUMIFS(gastos!W:W,gastos!M:M,ejec_ICPA!B160,gastos!P:P,ejec_ICPA!A160)</f>
        <v>105000000</v>
      </c>
      <c r="K160" s="209">
        <f>SUMIFS(gastos!X:X,gastos!$M:$M,ejec_ICPA!B160,gastos!$P:$P,ejec_ICPA!A160)</f>
        <v>105000000</v>
      </c>
      <c r="L160" s="209">
        <f>SUMIFS(gastos!$Z:$Z,gastos!$M:$M,ejec_ICPA!$B160,gastos!$P:$P,ejec_ICPA!$A160)</f>
        <v>105000000</v>
      </c>
      <c r="M160" s="209">
        <f>SUMIFS(gastos!$AE:$AE,gastos!$M:$M,ejec_ICPA!$B160,gastos!$P:$P,ejec_ICPA!$A160)</f>
        <v>105000000</v>
      </c>
      <c r="N160" s="209">
        <f>SUMIFS(gastos!AG:AG,gastos!$M:$M,ejec_ICPA!B160,gastos!$P:$P,ejec_ICPA!A160)</f>
        <v>0</v>
      </c>
      <c r="O160" s="209">
        <f>SUMIFS(gastos!AH:AH,gastos!$M:$M,ejec_ICPA!$B160,gastos!$P:$P,ejec_ICPA!$A160)</f>
        <v>0</v>
      </c>
      <c r="P160" s="209">
        <f>SUMIFS(gastos!$AF:$AF,gastos!$M:$M,ejec_ICPA!$B160,gastos!$P:$P,ejec_ICPA!$A160)</f>
        <v>10157619</v>
      </c>
      <c r="Q160" s="209">
        <f>SUMIFS(gastos!AJ:AJ,gastos!$M:$M,ejec_ICPA!$B160,gastos!$P:$P,ejec_ICPA!$A160)</f>
        <v>10157619</v>
      </c>
      <c r="R160" s="209">
        <f t="shared" si="162"/>
        <v>0</v>
      </c>
      <c r="S160" s="209">
        <f t="shared" si="163"/>
        <v>0</v>
      </c>
      <c r="T160" s="209">
        <f t="shared" si="164"/>
        <v>0</v>
      </c>
    </row>
    <row r="161" spans="1:24" x14ac:dyDescent="0.3">
      <c r="A161" s="111" t="s">
        <v>392</v>
      </c>
      <c r="B161" s="215" t="s">
        <v>391</v>
      </c>
      <c r="C161" s="219">
        <v>330937618</v>
      </c>
      <c r="D161" s="209">
        <f>SUMIFS(gastos!Q:Q,gastos!M:M,ejec_ICPA!B161,gastos!P:P,ejec_ICPA!A161)</f>
        <v>330937618</v>
      </c>
      <c r="E161" s="209">
        <f>SUMIFS(gastos!R:R,gastos!M:M,ejec_ICPA!B161,gastos!P:P,ejec_ICPA!A161)</f>
        <v>0</v>
      </c>
      <c r="F161" s="209">
        <f>SUMIFS(gastos!S:S,gastos!M:M,ejec_ICPA!B161,gastos!P:P,ejec_ICPA!A161)</f>
        <v>0</v>
      </c>
      <c r="G161" s="209">
        <f>SUMIFS(gastos!T:T,gastos!M:M,ejec_ICPA!B161,gastos!P:P,ejec_ICPA!A161)</f>
        <v>0</v>
      </c>
      <c r="H161" s="209">
        <f>SUMIFS(gastos!U:U,gastos!M:M,ejec_ICPA!B161,gastos!P:P,ejec_ICPA!A161)</f>
        <v>48000000</v>
      </c>
      <c r="I161" s="209">
        <f t="shared" si="161"/>
        <v>282937618</v>
      </c>
      <c r="J161" s="209">
        <f>SUMIFS(gastos!W:W,gastos!M:M,ejec_ICPA!B161,gastos!P:P,ejec_ICPA!A161)</f>
        <v>250349798</v>
      </c>
      <c r="K161" s="209">
        <f>SUMIFS(gastos!X:X,gastos!$M:$M,ejec_ICPA!B161,gastos!$P:$P,ejec_ICPA!A161)</f>
        <v>250349798</v>
      </c>
      <c r="L161" s="209">
        <f>SUMIFS(gastos!$Z:$Z,gastos!$M:$M,ejec_ICPA!$B161,gastos!$P:$P,ejec_ICPA!$A161)</f>
        <v>250349798</v>
      </c>
      <c r="M161" s="209">
        <f>SUMIFS(gastos!$AE:$AE,gastos!$M:$M,ejec_ICPA!$B161,gastos!$P:$P,ejec_ICPA!$A161)</f>
        <v>250349798</v>
      </c>
      <c r="N161" s="209">
        <f>SUMIFS(gastos!AG:AG,gastos!$M:$M,ejec_ICPA!B161,gastos!$P:$P,ejec_ICPA!A161)</f>
        <v>-16500001</v>
      </c>
      <c r="O161" s="209">
        <f>SUMIFS(gastos!AH:AH,gastos!$M:$M,ejec_ICPA!$B161,gastos!$P:$P,ejec_ICPA!$A161)</f>
        <v>0</v>
      </c>
      <c r="P161" s="209">
        <f>SUMIFS(gastos!$AF:$AF,gastos!$M:$M,ejec_ICPA!$B161,gastos!$P:$P,ejec_ICPA!$A161)</f>
        <v>70839878</v>
      </c>
      <c r="Q161" s="209">
        <f>SUMIFS(gastos!AJ:AJ,gastos!$M:$M,ejec_ICPA!$B161,gastos!$P:$P,ejec_ICPA!$A161)</f>
        <v>70839878</v>
      </c>
      <c r="R161" s="209">
        <f t="shared" si="162"/>
        <v>0</v>
      </c>
      <c r="S161" s="209">
        <f t="shared" si="163"/>
        <v>0</v>
      </c>
      <c r="T161" s="209">
        <f t="shared" si="164"/>
        <v>0</v>
      </c>
    </row>
    <row r="162" spans="1:24" x14ac:dyDescent="0.3">
      <c r="A162" s="111" t="s">
        <v>829</v>
      </c>
      <c r="B162" s="224" t="s">
        <v>415</v>
      </c>
      <c r="C162" s="219">
        <v>0</v>
      </c>
      <c r="D162" s="209">
        <f>SUMIFS(gastos!Q:Q,gastos!M:M,ejec_ICPA!B162,gastos!P:P,ejec_ICPA!A162)</f>
        <v>0</v>
      </c>
      <c r="E162" s="209">
        <f>SUMIFS(gastos!R:R,gastos!M:M,ejec_ICPA!B162,gastos!P:P,ejec_ICPA!A162)</f>
        <v>0</v>
      </c>
      <c r="F162" s="209">
        <f>SUMIFS(gastos!S:S,gastos!M:M,ejec_ICPA!B162,gastos!P:P,ejec_ICPA!A162)</f>
        <v>0</v>
      </c>
      <c r="G162" s="209">
        <f>SUMIFS(gastos!T:T,gastos!M:M,ejec_ICPA!B162,gastos!P:P,ejec_ICPA!A162)</f>
        <v>48000000</v>
      </c>
      <c r="H162" s="209">
        <f>SUMIFS(gastos!U:U,gastos!M:M,ejec_ICPA!B162,gastos!P:P,ejec_ICPA!A162)</f>
        <v>0</v>
      </c>
      <c r="I162" s="209">
        <f t="shared" si="161"/>
        <v>48000000</v>
      </c>
      <c r="J162" s="209">
        <f>SUMIFS(gastos!W:W,gastos!M:M,ejec_ICPA!B162,gastos!P:P,ejec_ICPA!A162)</f>
        <v>47284000</v>
      </c>
      <c r="K162" s="209">
        <f>SUMIFS(gastos!X:X,gastos!$M:$M,ejec_ICPA!B162,gastos!$P:$P,ejec_ICPA!A162)</f>
        <v>47284000</v>
      </c>
      <c r="L162" s="209">
        <f>SUMIFS(gastos!$Z:$Z,gastos!$M:$M,ejec_ICPA!$B162,gastos!$P:$P,ejec_ICPA!$A162)</f>
        <v>47284000</v>
      </c>
      <c r="M162" s="209">
        <f>SUMIFS(gastos!$AE:$AE,gastos!$M:$M,ejec_ICPA!$B162,gastos!$P:$P,ejec_ICPA!$A162)</f>
        <v>47284000</v>
      </c>
      <c r="N162" s="209">
        <f>SUMIFS(gastos!AG:AG,gastos!$M:$M,ejec_ICPA!B162,gastos!$P:$P,ejec_ICPA!A162)</f>
        <v>0</v>
      </c>
      <c r="O162" s="209">
        <f>SUMIFS(gastos!AH:AH,gastos!$M:$M,ejec_ICPA!$B162,gastos!$P:$P,ejec_ICPA!$A162)</f>
        <v>0</v>
      </c>
      <c r="P162" s="209">
        <f>SUMIFS(gastos!$AF:$AF,gastos!$M:$M,ejec_ICPA!$B162,gastos!$P:$P,ejec_ICPA!$A162)</f>
        <v>28800000</v>
      </c>
      <c r="Q162" s="209">
        <f>SUMIFS(gastos!AJ:AJ,gastos!$M:$M,ejec_ICPA!$B162,gastos!$P:$P,ejec_ICPA!$A162)</f>
        <v>28800000</v>
      </c>
      <c r="R162" s="209">
        <f t="shared" si="162"/>
        <v>0</v>
      </c>
      <c r="S162" s="209">
        <f t="shared" si="163"/>
        <v>0</v>
      </c>
      <c r="T162" s="209">
        <f t="shared" si="164"/>
        <v>0</v>
      </c>
    </row>
    <row r="163" spans="1:24" s="105" customFormat="1" x14ac:dyDescent="0.3">
      <c r="A163" s="113" t="s">
        <v>892</v>
      </c>
      <c r="B163" s="217" t="s">
        <v>384</v>
      </c>
      <c r="C163" s="218">
        <f t="shared" ref="C163:T163" si="165">SUM(C164:C166)</f>
        <v>0</v>
      </c>
      <c r="D163" s="218">
        <f t="shared" si="165"/>
        <v>0</v>
      </c>
      <c r="E163" s="218">
        <f t="shared" si="165"/>
        <v>377117311</v>
      </c>
      <c r="F163" s="218">
        <f t="shared" si="165"/>
        <v>0</v>
      </c>
      <c r="G163" s="218">
        <f t="shared" si="165"/>
        <v>50000000</v>
      </c>
      <c r="H163" s="218">
        <f t="shared" si="165"/>
        <v>103251837</v>
      </c>
      <c r="I163" s="218">
        <f t="shared" si="165"/>
        <v>323865474</v>
      </c>
      <c r="J163" s="218">
        <f t="shared" si="165"/>
        <v>296499050</v>
      </c>
      <c r="K163" s="218">
        <f t="shared" si="165"/>
        <v>296499050</v>
      </c>
      <c r="L163" s="218">
        <f t="shared" si="165"/>
        <v>296499050</v>
      </c>
      <c r="M163" s="218">
        <f t="shared" si="165"/>
        <v>296499050</v>
      </c>
      <c r="N163" s="218">
        <f t="shared" si="165"/>
        <v>-17796424</v>
      </c>
      <c r="O163" s="218">
        <f t="shared" si="165"/>
        <v>0</v>
      </c>
      <c r="P163" s="218">
        <f t="shared" si="165"/>
        <v>17885473</v>
      </c>
      <c r="Q163" s="218">
        <f t="shared" si="165"/>
        <v>17885473</v>
      </c>
      <c r="R163" s="218">
        <f t="shared" si="165"/>
        <v>0</v>
      </c>
      <c r="S163" s="218">
        <f t="shared" si="165"/>
        <v>0</v>
      </c>
      <c r="T163" s="218">
        <f t="shared" si="165"/>
        <v>0</v>
      </c>
      <c r="U163" s="208"/>
      <c r="V163" s="208"/>
      <c r="W163" s="208"/>
      <c r="X163" s="208"/>
    </row>
    <row r="164" spans="1:24" x14ac:dyDescent="0.3">
      <c r="A164" s="111" t="s">
        <v>843</v>
      </c>
      <c r="B164" s="111" t="s">
        <v>385</v>
      </c>
      <c r="C164" s="219"/>
      <c r="D164" s="209">
        <f>SUMIFS(gastos!Q:Q,gastos!M:M,ejec_ICPA!B164,gastos!P:P,ejec_ICPA!A164)</f>
        <v>0</v>
      </c>
      <c r="E164" s="209">
        <f>SUMIFS(gastos!R:R,gastos!M:M,ejec_ICPA!B164,gastos!P:P,ejec_ICPA!A164)</f>
        <v>0</v>
      </c>
      <c r="F164" s="209">
        <f>SUMIFS(gastos!S:S,gastos!M:M,ejec_ICPA!B164,gastos!P:P,ejec_ICPA!A164)</f>
        <v>0</v>
      </c>
      <c r="G164" s="209">
        <f>SUMIFS(gastos!T:T,gastos!M:M,ejec_ICPA!B164,gastos!P:P,ejec_ICPA!A164)</f>
        <v>50000000</v>
      </c>
      <c r="H164" s="209">
        <f>SUMIFS(gastos!U:U,gastos!M:M,ejec_ICPA!B164,gastos!P:P,ejec_ICPA!A164)</f>
        <v>0</v>
      </c>
      <c r="I164" s="209">
        <f t="shared" ref="I164:I166" si="166">D164+E164-F164+G164-H164</f>
        <v>50000000</v>
      </c>
      <c r="J164" s="209">
        <f>SUMIFS(gastos!W:W,gastos!M:M,ejec_ICPA!B164,gastos!P:P,ejec_ICPA!A164)</f>
        <v>40430000</v>
      </c>
      <c r="K164" s="209">
        <f>SUMIFS(gastos!X:X,gastos!$M:$M,ejec_ICPA!B164,gastos!$P:$P,ejec_ICPA!A164)</f>
        <v>40430000</v>
      </c>
      <c r="L164" s="209">
        <f>SUMIFS(gastos!$Z:$Z,gastos!$M:$M,ejec_ICPA!$B164,gastos!$P:$P,ejec_ICPA!$A164)</f>
        <v>40430000</v>
      </c>
      <c r="M164" s="209">
        <f>SUMIFS(gastos!$AE:$AE,gastos!$M:$M,ejec_ICPA!$B164,gastos!$P:$P,ejec_ICPA!$A164)</f>
        <v>40430000</v>
      </c>
      <c r="N164" s="209">
        <f>SUMIFS(gastos!AG:AG,gastos!$M:$M,ejec_ICPA!B164,gastos!$P:$P,ejec_ICPA!A164)</f>
        <v>0</v>
      </c>
      <c r="O164" s="209">
        <f>SUMIFS(gastos!AH:AH,gastos!$M:$M,ejec_ICPA!$B164,gastos!$P:$P,ejec_ICPA!$A164)</f>
        <v>0</v>
      </c>
      <c r="P164" s="209">
        <f>SUMIFS(gastos!$AF:$AF,gastos!$M:$M,ejec_ICPA!$B164,gastos!$P:$P,ejec_ICPA!$A164)</f>
        <v>0</v>
      </c>
      <c r="Q164" s="209">
        <f>SUMIFS(gastos!AJ:AJ,gastos!$M:$M,ejec_ICPA!$B164,gastos!$P:$P,ejec_ICPA!$A164)</f>
        <v>0</v>
      </c>
      <c r="R164" s="209">
        <f t="shared" ref="R164:R166" si="167">K164-L164</f>
        <v>0</v>
      </c>
      <c r="S164" s="209">
        <f t="shared" ref="S164:S166" si="168">L164-J164</f>
        <v>0</v>
      </c>
      <c r="T164" s="209">
        <f t="shared" ref="T164:T166" si="169">J164-M164</f>
        <v>0</v>
      </c>
    </row>
    <row r="165" spans="1:24" x14ac:dyDescent="0.3">
      <c r="A165" s="111" t="s">
        <v>844</v>
      </c>
      <c r="B165" s="111" t="s">
        <v>388</v>
      </c>
      <c r="C165" s="219"/>
      <c r="D165" s="209">
        <f>SUMIFS(gastos!Q:Q,gastos!M:M,ejec_ICPA!B165,gastos!P:P,ejec_ICPA!A165)</f>
        <v>0</v>
      </c>
      <c r="E165" s="209">
        <f>SUMIFS(gastos!R:R,gastos!M:M,ejec_ICPA!B165,gastos!P:P,ejec_ICPA!A165)</f>
        <v>327117311</v>
      </c>
      <c r="F165" s="209">
        <f>SUMIFS(gastos!S:S,gastos!M:M,ejec_ICPA!B165,gastos!P:P,ejec_ICPA!A165)</f>
        <v>0</v>
      </c>
      <c r="G165" s="209">
        <f>SUMIFS(gastos!T:T,gastos!M:M,ejec_ICPA!B165,gastos!P:P,ejec_ICPA!A165)</f>
        <v>0</v>
      </c>
      <c r="H165" s="209">
        <f>SUMIFS(gastos!U:U,gastos!M:M,ejec_ICPA!B165,gastos!P:P,ejec_ICPA!A165)</f>
        <v>53251837</v>
      </c>
      <c r="I165" s="209">
        <f t="shared" si="166"/>
        <v>273865474</v>
      </c>
      <c r="J165" s="209">
        <f>SUMIFS(gastos!W:W,gastos!M:M,ejec_ICPA!B165,gastos!P:P,ejec_ICPA!A165)</f>
        <v>256069050</v>
      </c>
      <c r="K165" s="209">
        <f>SUMIFS(gastos!X:X,gastos!$M:$M,ejec_ICPA!B165,gastos!$P:$P,ejec_ICPA!A165)</f>
        <v>256069050</v>
      </c>
      <c r="L165" s="209">
        <f>SUMIFS(gastos!$Z:$Z,gastos!$M:$M,ejec_ICPA!$B165,gastos!$P:$P,ejec_ICPA!$A165)</f>
        <v>256069050</v>
      </c>
      <c r="M165" s="209">
        <f>SUMIFS(gastos!$AE:$AE,gastos!$M:$M,ejec_ICPA!$B165,gastos!$P:$P,ejec_ICPA!$A165)</f>
        <v>256069050</v>
      </c>
      <c r="N165" s="209">
        <f>SUMIFS(gastos!AG:AG,gastos!$M:$M,ejec_ICPA!B165,gastos!$P:$P,ejec_ICPA!A165)</f>
        <v>-17796424</v>
      </c>
      <c r="O165" s="209">
        <f>SUMIFS(gastos!AH:AH,gastos!$M:$M,ejec_ICPA!$B165,gastos!$P:$P,ejec_ICPA!$A165)</f>
        <v>0</v>
      </c>
      <c r="P165" s="209">
        <f>SUMIFS(gastos!$AF:$AF,gastos!$M:$M,ejec_ICPA!$B165,gastos!$P:$P,ejec_ICPA!$A165)</f>
        <v>17885473</v>
      </c>
      <c r="Q165" s="209">
        <f>SUMIFS(gastos!AJ:AJ,gastos!$M:$M,ejec_ICPA!$B165,gastos!$P:$P,ejec_ICPA!$A165)</f>
        <v>17885473</v>
      </c>
      <c r="R165" s="209">
        <f t="shared" si="167"/>
        <v>0</v>
      </c>
      <c r="S165" s="209">
        <f t="shared" si="168"/>
        <v>0</v>
      </c>
      <c r="T165" s="209">
        <f t="shared" si="169"/>
        <v>0</v>
      </c>
    </row>
    <row r="166" spans="1:24" x14ac:dyDescent="0.3">
      <c r="A166" s="111" t="s">
        <v>845</v>
      </c>
      <c r="B166" s="111" t="s">
        <v>415</v>
      </c>
      <c r="C166" s="219"/>
      <c r="D166" s="209">
        <f>SUMIFS(gastos!Q:Q,gastos!M:M,ejec_ICPA!B166,gastos!P:P,ejec_ICPA!A166)</f>
        <v>0</v>
      </c>
      <c r="E166" s="209">
        <f>SUMIFS(gastos!R:R,gastos!M:M,ejec_ICPA!B166,gastos!P:P,ejec_ICPA!A166)</f>
        <v>50000000</v>
      </c>
      <c r="F166" s="209">
        <f>SUMIFS(gastos!S:S,gastos!M:M,ejec_ICPA!B166,gastos!P:P,ejec_ICPA!A166)</f>
        <v>0</v>
      </c>
      <c r="G166" s="209">
        <f>SUMIFS(gastos!T:T,gastos!M:M,ejec_ICPA!B166,gastos!P:P,ejec_ICPA!A166)</f>
        <v>0</v>
      </c>
      <c r="H166" s="209">
        <f>SUMIFS(gastos!U:U,gastos!M:M,ejec_ICPA!B166,gastos!P:P,ejec_ICPA!A166)</f>
        <v>50000000</v>
      </c>
      <c r="I166" s="209">
        <f t="shared" si="166"/>
        <v>0</v>
      </c>
      <c r="J166" s="209">
        <f>SUMIFS(gastos!W:W,gastos!M:M,ejec_ICPA!B166,gastos!P:P,ejec_ICPA!A166)</f>
        <v>0</v>
      </c>
      <c r="K166" s="209">
        <f>SUMIFS(gastos!X:X,gastos!$M:$M,ejec_ICPA!B166,gastos!$P:$P,ejec_ICPA!A166)</f>
        <v>0</v>
      </c>
      <c r="L166" s="209">
        <f>SUMIFS(gastos!$Z:$Z,gastos!$M:$M,ejec_ICPA!$B166,gastos!$P:$P,ejec_ICPA!$A166)</f>
        <v>0</v>
      </c>
      <c r="M166" s="209">
        <f>SUMIFS(gastos!$AE:$AE,gastos!$M:$M,ejec_ICPA!$B166,gastos!$P:$P,ejec_ICPA!$A166)</f>
        <v>0</v>
      </c>
      <c r="N166" s="209">
        <f>SUMIFS(gastos!AG:AG,gastos!$M:$M,ejec_ICPA!B166,gastos!$P:$P,ejec_ICPA!A166)</f>
        <v>0</v>
      </c>
      <c r="O166" s="209">
        <f>SUMIFS(gastos!AH:AH,gastos!$M:$M,ejec_ICPA!$B166,gastos!$P:$P,ejec_ICPA!$A166)</f>
        <v>0</v>
      </c>
      <c r="P166" s="209">
        <f>SUMIFS(gastos!$AF:$AF,gastos!$M:$M,ejec_ICPA!$B166,gastos!$P:$P,ejec_ICPA!$A166)</f>
        <v>0</v>
      </c>
      <c r="Q166" s="209">
        <f>SUMIFS(gastos!AJ:AJ,gastos!$M:$M,ejec_ICPA!$B166,gastos!$P:$P,ejec_ICPA!$A166)</f>
        <v>0</v>
      </c>
      <c r="R166" s="209">
        <f t="shared" si="167"/>
        <v>0</v>
      </c>
      <c r="S166" s="209">
        <f t="shared" si="168"/>
        <v>0</v>
      </c>
      <c r="T166" s="209">
        <f t="shared" si="169"/>
        <v>0</v>
      </c>
    </row>
    <row r="167" spans="1:24" s="105" customFormat="1" x14ac:dyDescent="0.3">
      <c r="A167" s="104" t="s">
        <v>895</v>
      </c>
      <c r="B167" s="217" t="s">
        <v>384</v>
      </c>
      <c r="C167" s="218">
        <f>SUM(C168)</f>
        <v>0</v>
      </c>
      <c r="D167" s="218">
        <f t="shared" ref="D167:T167" si="170">SUM(D168)</f>
        <v>0</v>
      </c>
      <c r="E167" s="218">
        <f t="shared" si="170"/>
        <v>1321777205</v>
      </c>
      <c r="F167" s="218">
        <f t="shared" si="170"/>
        <v>0</v>
      </c>
      <c r="G167" s="218">
        <f t="shared" si="170"/>
        <v>0</v>
      </c>
      <c r="H167" s="218">
        <f t="shared" si="170"/>
        <v>0</v>
      </c>
      <c r="I167" s="218">
        <f t="shared" si="170"/>
        <v>1321777205</v>
      </c>
      <c r="J167" s="218">
        <f t="shared" si="170"/>
        <v>1066490545</v>
      </c>
      <c r="K167" s="218">
        <f t="shared" si="170"/>
        <v>1066490545</v>
      </c>
      <c r="L167" s="218">
        <f t="shared" si="170"/>
        <v>1066490545</v>
      </c>
      <c r="M167" s="218">
        <f t="shared" si="170"/>
        <v>1060490545</v>
      </c>
      <c r="N167" s="218">
        <f t="shared" si="170"/>
        <v>-58290916</v>
      </c>
      <c r="O167" s="218">
        <f t="shared" si="170"/>
        <v>0</v>
      </c>
      <c r="P167" s="218">
        <f t="shared" si="170"/>
        <v>243623538</v>
      </c>
      <c r="Q167" s="218">
        <f t="shared" si="170"/>
        <v>233123538</v>
      </c>
      <c r="R167" s="218">
        <f t="shared" si="170"/>
        <v>0</v>
      </c>
      <c r="S167" s="218">
        <f t="shared" si="170"/>
        <v>0</v>
      </c>
      <c r="T167" s="218">
        <f t="shared" si="170"/>
        <v>6000000</v>
      </c>
      <c r="U167" s="208"/>
      <c r="V167" s="208"/>
      <c r="W167" s="208"/>
      <c r="X167" s="208"/>
    </row>
    <row r="168" spans="1:24" x14ac:dyDescent="0.3">
      <c r="A168" s="111" t="s">
        <v>846</v>
      </c>
      <c r="B168" s="111" t="s">
        <v>391</v>
      </c>
      <c r="C168" s="219">
        <v>0</v>
      </c>
      <c r="D168" s="209">
        <f>SUMIFS(gastos!Q:Q,gastos!M:M,ejec_ICPA!B168,gastos!P:P,ejec_ICPA!A168)</f>
        <v>0</v>
      </c>
      <c r="E168" s="209">
        <f>SUMIFS(gastos!R:R,gastos!M:M,ejec_ICPA!B168,gastos!P:P,ejec_ICPA!A168)</f>
        <v>1321777205</v>
      </c>
      <c r="F168" s="209">
        <f>SUMIFS(gastos!S:S,gastos!M:M,ejec_ICPA!B168,gastos!P:P,ejec_ICPA!A168)</f>
        <v>0</v>
      </c>
      <c r="G168" s="209">
        <f>SUMIFS(gastos!T:T,gastos!M:M,ejec_ICPA!B168,gastos!P:P,ejec_ICPA!A168)</f>
        <v>0</v>
      </c>
      <c r="H168" s="209">
        <f>SUMIFS(gastos!U:U,gastos!M:M,ejec_ICPA!B168,gastos!P:P,ejec_ICPA!A168)</f>
        <v>0</v>
      </c>
      <c r="I168" s="209">
        <f t="shared" ref="I168" si="171">D168+E168-F168+G168-H168</f>
        <v>1321777205</v>
      </c>
      <c r="J168" s="209">
        <f>SUMIFS(gastos!W:W,gastos!M:M,ejec_ICPA!B168,gastos!P:P,ejec_ICPA!A168)</f>
        <v>1066490545</v>
      </c>
      <c r="K168" s="209">
        <f>SUMIFS(gastos!X:X,gastos!$M:$M,ejec_ICPA!B168,gastos!$P:$P,ejec_ICPA!A168)</f>
        <v>1066490545</v>
      </c>
      <c r="L168" s="209">
        <f>SUMIFS(gastos!$Z:$Z,gastos!$M:$M,ejec_ICPA!$B168,gastos!$P:$P,ejec_ICPA!$A168)</f>
        <v>1066490545</v>
      </c>
      <c r="M168" s="209">
        <f>SUMIFS(gastos!$AE:$AE,gastos!$M:$M,ejec_ICPA!$B168,gastos!$P:$P,ejec_ICPA!$A168)</f>
        <v>1060490545</v>
      </c>
      <c r="N168" s="209">
        <f>SUMIFS(gastos!AG:AG,gastos!$M:$M,ejec_ICPA!B168,gastos!$P:$P,ejec_ICPA!A168)</f>
        <v>-58290916</v>
      </c>
      <c r="O168" s="209">
        <f>SUMIFS(gastos!AH:AH,gastos!$M:$M,ejec_ICPA!$B168,gastos!$P:$P,ejec_ICPA!$A168)</f>
        <v>0</v>
      </c>
      <c r="P168" s="209">
        <f>SUMIFS(gastos!$AF:$AF,gastos!$M:$M,ejec_ICPA!$B168,gastos!$P:$P,ejec_ICPA!$A168)</f>
        <v>243623538</v>
      </c>
      <c r="Q168" s="209">
        <f>SUMIFS(gastos!AJ:AJ,gastos!$M:$M,ejec_ICPA!$B168,gastos!$P:$P,ejec_ICPA!$A168)</f>
        <v>233123538</v>
      </c>
      <c r="R168" s="209">
        <f t="shared" ref="R168" si="172">K168-L168</f>
        <v>0</v>
      </c>
      <c r="S168" s="209">
        <f t="shared" ref="S168" si="173">L168-J168</f>
        <v>0</v>
      </c>
      <c r="T168" s="209">
        <f t="shared" ref="T168" si="174">J168-M168</f>
        <v>6000000</v>
      </c>
    </row>
    <row r="169" spans="1:24" s="105" customFormat="1" x14ac:dyDescent="0.3">
      <c r="A169" s="113" t="s">
        <v>711</v>
      </c>
      <c r="B169" s="217" t="s">
        <v>384</v>
      </c>
      <c r="C169" s="218">
        <f>SUM(C170:C174)</f>
        <v>431103692</v>
      </c>
      <c r="D169" s="218">
        <f>SUM(D170:D174)</f>
        <v>431103692</v>
      </c>
      <c r="E169" s="218">
        <f t="shared" ref="E169:T169" si="175">SUM(E170:E174)</f>
        <v>934434678</v>
      </c>
      <c r="F169" s="218">
        <f t="shared" si="175"/>
        <v>0</v>
      </c>
      <c r="G169" s="218">
        <f t="shared" si="175"/>
        <v>233000000</v>
      </c>
      <c r="H169" s="218">
        <f t="shared" si="175"/>
        <v>233000000</v>
      </c>
      <c r="I169" s="218">
        <f t="shared" si="175"/>
        <v>1365538370</v>
      </c>
      <c r="J169" s="218">
        <f t="shared" si="175"/>
        <v>1048095546</v>
      </c>
      <c r="K169" s="218">
        <f t="shared" si="175"/>
        <v>1048095546</v>
      </c>
      <c r="L169" s="218">
        <f t="shared" si="175"/>
        <v>1048095546</v>
      </c>
      <c r="M169" s="218">
        <f t="shared" si="175"/>
        <v>1048095546</v>
      </c>
      <c r="N169" s="218">
        <f t="shared" si="175"/>
        <v>-13348883</v>
      </c>
      <c r="O169" s="218">
        <f t="shared" si="175"/>
        <v>0</v>
      </c>
      <c r="P169" s="218">
        <f t="shared" si="175"/>
        <v>321519389</v>
      </c>
      <c r="Q169" s="218">
        <f t="shared" si="175"/>
        <v>321519389</v>
      </c>
      <c r="R169" s="218">
        <f t="shared" si="175"/>
        <v>0</v>
      </c>
      <c r="S169" s="218">
        <f t="shared" si="175"/>
        <v>0</v>
      </c>
      <c r="T169" s="218">
        <f t="shared" si="175"/>
        <v>0</v>
      </c>
      <c r="U169" s="208"/>
      <c r="V169" s="208"/>
      <c r="W169" s="208"/>
      <c r="X169" s="208"/>
    </row>
    <row r="170" spans="1:24" s="105" customFormat="1" x14ac:dyDescent="0.3">
      <c r="A170" s="111" t="s">
        <v>948</v>
      </c>
      <c r="B170" s="111" t="s">
        <v>385</v>
      </c>
      <c r="C170" s="219">
        <v>0</v>
      </c>
      <c r="D170" s="209">
        <f>SUMIFS(gastos!Q:Q,gastos!M:M,ejec_ICPA!B170,gastos!P:P,ejec_ICPA!A170)</f>
        <v>0</v>
      </c>
      <c r="E170" s="209">
        <f>SUMIFS(gastos!R:R,gastos!M:M,ejec_ICPA!B170,gastos!P:P,ejec_ICPA!A170)</f>
        <v>0</v>
      </c>
      <c r="F170" s="209">
        <f>SUMIFS(gastos!S:S,gastos!M:M,ejec_ICPA!B170,gastos!P:P,ejec_ICPA!A170)</f>
        <v>0</v>
      </c>
      <c r="G170" s="209">
        <f>SUMIFS(gastos!T:T,gastos!M:M,ejec_ICPA!B170,gastos!P:P,ejec_ICPA!A170)</f>
        <v>233000000</v>
      </c>
      <c r="H170" s="209">
        <f>SUMIFS(gastos!U:U,gastos!M:M,ejec_ICPA!B170,gastos!P:P,ejec_ICPA!A170)</f>
        <v>0</v>
      </c>
      <c r="I170" s="209">
        <f t="shared" ref="I170" si="176">D170+E170-F170+G170-H170</f>
        <v>233000000</v>
      </c>
      <c r="J170" s="209">
        <f>SUMIFS(gastos!W:W,gastos!M:M,ejec_ICPA!B170,gastos!P:P,ejec_ICPA!A170)</f>
        <v>111115000</v>
      </c>
      <c r="K170" s="209">
        <f>SUMIFS(gastos!X:X,gastos!$M:$M,ejec_ICPA!B170,gastos!$P:$P,ejec_ICPA!A170)</f>
        <v>111115000</v>
      </c>
      <c r="L170" s="209">
        <f>SUMIFS(gastos!$Z:$Z,gastos!$M:$M,ejec_ICPA!$B170,gastos!$P:$P,ejec_ICPA!$A170)</f>
        <v>111115000</v>
      </c>
      <c r="M170" s="209">
        <f>SUMIFS(gastos!$AE:$AE,gastos!$M:$M,ejec_ICPA!$B170,gastos!$P:$P,ejec_ICPA!$A170)</f>
        <v>111115000</v>
      </c>
      <c r="N170" s="209">
        <f>SUMIFS(gastos!AG:AG,gastos!$M:$M,ejec_ICPA!B170,gastos!$P:$P,ejec_ICPA!A170)</f>
        <v>-1900000</v>
      </c>
      <c r="O170" s="209">
        <f>SUMIFS(gastos!AH:AH,gastos!$M:$M,ejec_ICPA!$B170,gastos!$P:$P,ejec_ICPA!$A170)</f>
        <v>0</v>
      </c>
      <c r="P170" s="209">
        <f>SUMIFS(gastos!$AF:$AF,gastos!$M:$M,ejec_ICPA!$B170,gastos!$P:$P,ejec_ICPA!$A170)</f>
        <v>12555000</v>
      </c>
      <c r="Q170" s="209">
        <f>SUMIFS(gastos!AJ:AJ,gastos!$M:$M,ejec_ICPA!$B170,gastos!$P:$P,ejec_ICPA!$A170)</f>
        <v>12555000</v>
      </c>
      <c r="R170" s="209">
        <f t="shared" ref="R170" si="177">K170-L170</f>
        <v>0</v>
      </c>
      <c r="S170" s="209">
        <f t="shared" ref="S170" si="178">L170-J170</f>
        <v>0</v>
      </c>
      <c r="T170" s="209">
        <f t="shared" ref="T170" si="179">J170-M170</f>
        <v>0</v>
      </c>
      <c r="U170" s="208"/>
      <c r="V170" s="208"/>
      <c r="W170" s="208"/>
      <c r="X170" s="208"/>
    </row>
    <row r="171" spans="1:24" s="105" customFormat="1" x14ac:dyDescent="0.3">
      <c r="A171" s="111" t="s">
        <v>854</v>
      </c>
      <c r="B171" s="111" t="s">
        <v>391</v>
      </c>
      <c r="C171" s="219">
        <v>0</v>
      </c>
      <c r="D171" s="209">
        <f>SUMIFS(gastos!Q:Q,gastos!M:M,ejec_ICPA!B171,gastos!P:P,ejec_ICPA!A171)</f>
        <v>0</v>
      </c>
      <c r="E171" s="209">
        <f>SUMIFS(gastos!R:R,gastos!M:M,ejec_ICPA!B171,gastos!P:P,ejec_ICPA!A171)</f>
        <v>934434678</v>
      </c>
      <c r="F171" s="209">
        <f>SUMIFS(gastos!S:S,gastos!M:M,ejec_ICPA!B171,gastos!P:P,ejec_ICPA!A171)</f>
        <v>0</v>
      </c>
      <c r="G171" s="209">
        <f>SUMIFS(gastos!T:T,gastos!M:M,ejec_ICPA!B171,gastos!P:P,ejec_ICPA!A171)</f>
        <v>0</v>
      </c>
      <c r="H171" s="209">
        <f>SUMIFS(gastos!U:U,gastos!M:M,ejec_ICPA!B171,gastos!P:P,ejec_ICPA!A171)</f>
        <v>233000000</v>
      </c>
      <c r="I171" s="209">
        <f t="shared" ref="I171" si="180">D171+E171-F171+G171-H171</f>
        <v>701434678</v>
      </c>
      <c r="J171" s="209">
        <f>SUMIFS(gastos!W:W,gastos!M:M,ejec_ICPA!B171,gastos!P:P,ejec_ICPA!A171)</f>
        <v>506171117</v>
      </c>
      <c r="K171" s="209">
        <f>SUMIFS(gastos!X:X,gastos!$M:$M,ejec_ICPA!B171,gastos!$P:$P,ejec_ICPA!A171)</f>
        <v>506171117</v>
      </c>
      <c r="L171" s="209">
        <f>SUMIFS(gastos!$Z:$Z,gastos!$M:$M,ejec_ICPA!$B171,gastos!$P:$P,ejec_ICPA!$A171)</f>
        <v>506171117</v>
      </c>
      <c r="M171" s="209">
        <f>SUMIFS(gastos!$AE:$AE,gastos!$M:$M,ejec_ICPA!$B171,gastos!$P:$P,ejec_ICPA!$A171)</f>
        <v>506171117</v>
      </c>
      <c r="N171" s="209">
        <f>SUMIFS(gastos!AG:AG,gastos!$M:$M,ejec_ICPA!B171,gastos!$P:$P,ejec_ICPA!A171)</f>
        <v>-11448883</v>
      </c>
      <c r="O171" s="209">
        <f>SUMIFS(gastos!AH:AH,gastos!$M:$M,ejec_ICPA!$B171,gastos!$P:$P,ejec_ICPA!$A171)</f>
        <v>0</v>
      </c>
      <c r="P171" s="209">
        <f>SUMIFS(gastos!$AF:$AF,gastos!$M:$M,ejec_ICPA!$B171,gastos!$P:$P,ejec_ICPA!$A171)</f>
        <v>140549560</v>
      </c>
      <c r="Q171" s="209">
        <f>SUMIFS(gastos!AJ:AJ,gastos!$M:$M,ejec_ICPA!$B171,gastos!$P:$P,ejec_ICPA!$A171)</f>
        <v>140549560</v>
      </c>
      <c r="R171" s="209">
        <f t="shared" ref="R171" si="181">K171-L171</f>
        <v>0</v>
      </c>
      <c r="S171" s="209">
        <f t="shared" ref="S171" si="182">L171-J171</f>
        <v>0</v>
      </c>
      <c r="T171" s="209">
        <f t="shared" ref="T171" si="183">J171-M171</f>
        <v>0</v>
      </c>
      <c r="U171" s="208"/>
      <c r="V171" s="208"/>
      <c r="W171" s="208"/>
      <c r="X171" s="208"/>
    </row>
    <row r="172" spans="1:24" x14ac:dyDescent="0.3">
      <c r="A172" s="111" t="s">
        <v>410</v>
      </c>
      <c r="B172" s="224" t="s">
        <v>409</v>
      </c>
      <c r="C172" s="219">
        <v>20809429</v>
      </c>
      <c r="D172" s="209">
        <f>SUMIFS(gastos!Q:Q,gastos!M:M,ejec_ICPA!B172,gastos!P:P,ejec_ICPA!A172)</f>
        <v>20809429</v>
      </c>
      <c r="E172" s="209">
        <f>SUMIFS(gastos!R:R,gastos!M:M,ejec_ICPA!B172,gastos!P:P,ejec_ICPA!A172)</f>
        <v>0</v>
      </c>
      <c r="F172" s="209">
        <f>SUMIFS(gastos!S:S,gastos!M:M,ejec_ICPA!B172,gastos!P:P,ejec_ICPA!A172)</f>
        <v>0</v>
      </c>
      <c r="G172" s="209">
        <f>SUMIFS(gastos!T:T,gastos!M:M,ejec_ICPA!B172,gastos!P:P,ejec_ICPA!A172)</f>
        <v>0</v>
      </c>
      <c r="H172" s="209">
        <f>SUMIFS(gastos!U:U,gastos!M:M,ejec_ICPA!B172,gastos!P:P,ejec_ICPA!A172)</f>
        <v>0</v>
      </c>
      <c r="I172" s="209">
        <f t="shared" ref="I172:I174" si="184">D172+E172-F172+G172-H172</f>
        <v>20809429</v>
      </c>
      <c r="J172" s="209">
        <f>SUMIFS(gastos!W:W,gastos!M:M,ejec_ICPA!B172,gastos!P:P,ejec_ICPA!A172)</f>
        <v>20809429</v>
      </c>
      <c r="K172" s="209">
        <f>SUMIFS(gastos!X:X,gastos!$M:$M,ejec_ICPA!B172,gastos!$P:$P,ejec_ICPA!A172)</f>
        <v>20809429</v>
      </c>
      <c r="L172" s="209">
        <f>SUMIFS(gastos!$Z:$Z,gastos!$M:$M,ejec_ICPA!$B172,gastos!$P:$P,ejec_ICPA!$A172)</f>
        <v>20809429</v>
      </c>
      <c r="M172" s="209">
        <f>SUMIFS(gastos!$AE:$AE,gastos!$M:$M,ejec_ICPA!$B172,gastos!$P:$P,ejec_ICPA!$A172)</f>
        <v>20809429</v>
      </c>
      <c r="N172" s="209">
        <f>SUMIFS(gastos!AG:AG,gastos!$M:$M,ejec_ICPA!B172,gastos!$P:$P,ejec_ICPA!A172)</f>
        <v>0</v>
      </c>
      <c r="O172" s="209">
        <f>SUMIFS(gastos!AH:AH,gastos!$M:$M,ejec_ICPA!$B172,gastos!$P:$P,ejec_ICPA!$A172)</f>
        <v>0</v>
      </c>
      <c r="P172" s="209">
        <f>SUMIFS(gastos!$AF:$AF,gastos!$M:$M,ejec_ICPA!$B172,gastos!$P:$P,ejec_ICPA!$A172)</f>
        <v>6844429</v>
      </c>
      <c r="Q172" s="209">
        <f>SUMIFS(gastos!AJ:AJ,gastos!$M:$M,ejec_ICPA!$B172,gastos!$P:$P,ejec_ICPA!$A172)</f>
        <v>6844429</v>
      </c>
      <c r="R172" s="209">
        <f t="shared" ref="R172:R174" si="185">K172-L172</f>
        <v>0</v>
      </c>
      <c r="S172" s="209">
        <f t="shared" ref="S172:S174" si="186">L172-J172</f>
        <v>0</v>
      </c>
      <c r="T172" s="209">
        <f t="shared" ref="T172:T174" si="187">J172-M172</f>
        <v>0</v>
      </c>
    </row>
    <row r="173" spans="1:24" x14ac:dyDescent="0.3">
      <c r="A173" s="111" t="s">
        <v>413</v>
      </c>
      <c r="B173" s="224" t="s">
        <v>412</v>
      </c>
      <c r="C173" s="219">
        <v>10294263</v>
      </c>
      <c r="D173" s="209">
        <f>SUMIFS(gastos!Q:Q,gastos!M:M,ejec_ICPA!B173,gastos!P:P,ejec_ICPA!A173)</f>
        <v>10294263</v>
      </c>
      <c r="E173" s="209">
        <f>SUMIFS(gastos!R:R,gastos!M:M,ejec_ICPA!B173,gastos!P:P,ejec_ICPA!A173)</f>
        <v>0</v>
      </c>
      <c r="F173" s="209">
        <f>SUMIFS(gastos!S:S,gastos!M:M,ejec_ICPA!B173,gastos!P:P,ejec_ICPA!A173)</f>
        <v>0</v>
      </c>
      <c r="G173" s="209">
        <f>SUMIFS(gastos!T:T,gastos!M:M,ejec_ICPA!B173,gastos!P:P,ejec_ICPA!A173)</f>
        <v>0</v>
      </c>
      <c r="H173" s="209">
        <f>SUMIFS(gastos!U:U,gastos!M:M,ejec_ICPA!B173,gastos!P:P,ejec_ICPA!A173)</f>
        <v>0</v>
      </c>
      <c r="I173" s="209">
        <f t="shared" si="184"/>
        <v>10294263</v>
      </c>
      <c r="J173" s="209">
        <f>SUMIFS(gastos!W:W,gastos!M:M,ejec_ICPA!B173,gastos!P:P,ejec_ICPA!A173)</f>
        <v>10000000</v>
      </c>
      <c r="K173" s="209">
        <f>SUMIFS(gastos!X:X,gastos!$M:$M,ejec_ICPA!B173,gastos!$P:$P,ejec_ICPA!A173)</f>
        <v>10000000</v>
      </c>
      <c r="L173" s="209">
        <f>SUMIFS(gastos!$Z:$Z,gastos!$M:$M,ejec_ICPA!$B173,gastos!$P:$P,ejec_ICPA!$A173)</f>
        <v>10000000</v>
      </c>
      <c r="M173" s="209">
        <f>SUMIFS(gastos!$AE:$AE,gastos!$M:$M,ejec_ICPA!$B173,gastos!$P:$P,ejec_ICPA!$A173)</f>
        <v>10000000</v>
      </c>
      <c r="N173" s="209">
        <f>SUMIFS(gastos!AG:AG,gastos!$M:$M,ejec_ICPA!B173,gastos!$P:$P,ejec_ICPA!A173)</f>
        <v>0</v>
      </c>
      <c r="O173" s="209">
        <f>SUMIFS(gastos!AH:AH,gastos!$M:$M,ejec_ICPA!$B173,gastos!$P:$P,ejec_ICPA!$A173)</f>
        <v>0</v>
      </c>
      <c r="P173" s="209">
        <f>SUMIFS(gastos!$AF:$AF,gastos!$M:$M,ejec_ICPA!$B173,gastos!$P:$P,ejec_ICPA!$A173)</f>
        <v>6000000</v>
      </c>
      <c r="Q173" s="209">
        <f>SUMIFS(gastos!AJ:AJ,gastos!$M:$M,ejec_ICPA!$B173,gastos!$P:$P,ejec_ICPA!$A173)</f>
        <v>6000000</v>
      </c>
      <c r="R173" s="209">
        <f t="shared" si="185"/>
        <v>0</v>
      </c>
      <c r="S173" s="209">
        <f t="shared" si="186"/>
        <v>0</v>
      </c>
      <c r="T173" s="209">
        <f t="shared" si="187"/>
        <v>0</v>
      </c>
    </row>
    <row r="174" spans="1:24" x14ac:dyDescent="0.3">
      <c r="A174" s="111" t="s">
        <v>416</v>
      </c>
      <c r="B174" s="224" t="s">
        <v>415</v>
      </c>
      <c r="C174" s="219">
        <f>308919121+91080879</f>
        <v>400000000</v>
      </c>
      <c r="D174" s="209">
        <f>SUMIFS(gastos!Q:Q,gastos!M:M,ejec_ICPA!B174,gastos!P:P,ejec_ICPA!A174)</f>
        <v>400000000</v>
      </c>
      <c r="E174" s="209">
        <f>SUMIFS(gastos!R:R,gastos!M:M,ejec_ICPA!B174,gastos!P:P,ejec_ICPA!A174)</f>
        <v>0</v>
      </c>
      <c r="F174" s="209">
        <f>SUMIFS(gastos!S:S,gastos!M:M,ejec_ICPA!B174,gastos!P:P,ejec_ICPA!A174)</f>
        <v>0</v>
      </c>
      <c r="G174" s="209">
        <v>0</v>
      </c>
      <c r="H174" s="209">
        <v>0</v>
      </c>
      <c r="I174" s="209">
        <f t="shared" si="184"/>
        <v>400000000</v>
      </c>
      <c r="J174" s="209">
        <f>SUMIFS(gastos!W:W,gastos!M:M,ejec_ICPA!B174,gastos!P:P,ejec_ICPA!A174)</f>
        <v>400000000</v>
      </c>
      <c r="K174" s="209">
        <f>SUMIFS(gastos!X:X,gastos!$M:$M,ejec_ICPA!B174,gastos!$P:$P,ejec_ICPA!A174)</f>
        <v>400000000</v>
      </c>
      <c r="L174" s="209">
        <f>SUMIFS(gastos!$Z:$Z,gastos!$M:$M,ejec_ICPA!$B174,gastos!$P:$P,ejec_ICPA!$A174)</f>
        <v>400000000</v>
      </c>
      <c r="M174" s="209">
        <f>SUMIFS(gastos!$AE:$AE,gastos!$M:$M,ejec_ICPA!$B174,gastos!$P:$P,ejec_ICPA!$A174)</f>
        <v>400000000</v>
      </c>
      <c r="N174" s="209">
        <f>SUMIFS(gastos!AG:AG,gastos!$M:$M,ejec_ICPA!B174,gastos!$P:$P,ejec_ICPA!A174)</f>
        <v>0</v>
      </c>
      <c r="O174" s="209">
        <f>SUMIFS(gastos!AH:AH,gastos!$M:$M,ejec_ICPA!$B174,gastos!$P:$P,ejec_ICPA!$A174)</f>
        <v>0</v>
      </c>
      <c r="P174" s="209">
        <f>SUMIFS(gastos!$AF:$AF,gastos!$M:$M,ejec_ICPA!$B174,gastos!$P:$P,ejec_ICPA!$A174)</f>
        <v>155570400</v>
      </c>
      <c r="Q174" s="209">
        <f>SUMIFS(gastos!AJ:AJ,gastos!$M:$M,ejec_ICPA!$B174,gastos!$P:$P,ejec_ICPA!$A174)</f>
        <v>155570400</v>
      </c>
      <c r="R174" s="209">
        <f t="shared" si="185"/>
        <v>0</v>
      </c>
      <c r="S174" s="209">
        <f t="shared" si="186"/>
        <v>0</v>
      </c>
      <c r="T174" s="209">
        <f t="shared" si="187"/>
        <v>0</v>
      </c>
    </row>
    <row r="175" spans="1:24" s="105" customFormat="1" x14ac:dyDescent="0.3">
      <c r="A175" s="113" t="s">
        <v>940</v>
      </c>
      <c r="B175" s="217" t="s">
        <v>384</v>
      </c>
      <c r="C175" s="218">
        <f>SUM(C176)</f>
        <v>0</v>
      </c>
      <c r="D175" s="218">
        <f>SUM(D176)</f>
        <v>0</v>
      </c>
      <c r="E175" s="218">
        <f t="shared" ref="E175:T175" si="188">SUM(E176)</f>
        <v>25000000</v>
      </c>
      <c r="F175" s="218">
        <f t="shared" si="188"/>
        <v>0</v>
      </c>
      <c r="G175" s="218">
        <f t="shared" si="188"/>
        <v>0</v>
      </c>
      <c r="H175" s="218">
        <f t="shared" si="188"/>
        <v>0</v>
      </c>
      <c r="I175" s="218">
        <f t="shared" si="188"/>
        <v>25000000</v>
      </c>
      <c r="J175" s="218">
        <f t="shared" si="188"/>
        <v>24750000</v>
      </c>
      <c r="K175" s="218">
        <f t="shared" si="188"/>
        <v>24750000</v>
      </c>
      <c r="L175" s="218">
        <f t="shared" si="188"/>
        <v>24750000</v>
      </c>
      <c r="M175" s="218">
        <f t="shared" si="188"/>
        <v>24750000</v>
      </c>
      <c r="N175" s="218">
        <f t="shared" si="188"/>
        <v>0</v>
      </c>
      <c r="O175" s="218">
        <f t="shared" si="188"/>
        <v>0</v>
      </c>
      <c r="P175" s="218">
        <f t="shared" si="188"/>
        <v>7425000</v>
      </c>
      <c r="Q175" s="218">
        <f t="shared" si="188"/>
        <v>7425000</v>
      </c>
      <c r="R175" s="218">
        <f t="shared" si="188"/>
        <v>0</v>
      </c>
      <c r="S175" s="218">
        <f t="shared" si="188"/>
        <v>0</v>
      </c>
      <c r="T175" s="218">
        <f t="shared" si="188"/>
        <v>0</v>
      </c>
      <c r="U175" s="208"/>
      <c r="V175" s="208"/>
      <c r="W175" s="208"/>
      <c r="X175" s="208"/>
    </row>
    <row r="176" spans="1:24" x14ac:dyDescent="0.3">
      <c r="A176" s="111" t="s">
        <v>927</v>
      </c>
      <c r="B176" s="111" t="s">
        <v>391</v>
      </c>
      <c r="C176" s="219">
        <v>0</v>
      </c>
      <c r="D176" s="209">
        <f>SUMIFS(gastos!Q:Q,gastos!M:M,ejec_ICPA!B176,gastos!P:P,ejec_ICPA!A176)</f>
        <v>0</v>
      </c>
      <c r="E176" s="209">
        <f>SUMIFS(gastos!R:R,gastos!M:M,ejec_ICPA!B176,gastos!P:P,ejec_ICPA!A176)</f>
        <v>25000000</v>
      </c>
      <c r="F176" s="209">
        <f>SUMIFS(gastos!S:S,gastos!M:M,ejec_ICPA!B176,gastos!P:P,ejec_ICPA!A176)</f>
        <v>0</v>
      </c>
      <c r="G176" s="209">
        <v>0</v>
      </c>
      <c r="H176" s="209">
        <v>0</v>
      </c>
      <c r="I176" s="209">
        <f t="shared" ref="I176" si="189">D176+E176-F176+G176-H176</f>
        <v>25000000</v>
      </c>
      <c r="J176" s="209">
        <f>SUMIFS(gastos!W:W,gastos!M:M,ejec_ICPA!B176,gastos!P:P,ejec_ICPA!A176)</f>
        <v>24750000</v>
      </c>
      <c r="K176" s="209">
        <f>SUMIFS(gastos!X:X,gastos!$M:$M,ejec_ICPA!B176,gastos!$P:$P,ejec_ICPA!A176)</f>
        <v>24750000</v>
      </c>
      <c r="L176" s="209">
        <f>SUMIFS(gastos!$Z:$Z,gastos!$M:$M,ejec_ICPA!$B176,gastos!$P:$P,ejec_ICPA!$A176)</f>
        <v>24750000</v>
      </c>
      <c r="M176" s="209">
        <f>SUMIFS(gastos!$AE:$AE,gastos!$M:$M,ejec_ICPA!$B176,gastos!$P:$P,ejec_ICPA!$A176)</f>
        <v>24750000</v>
      </c>
      <c r="N176" s="209">
        <f>SUMIFS(gastos!AG:AG,gastos!$M:$M,ejec_ICPA!B176,gastos!$P:$P,ejec_ICPA!A176)</f>
        <v>0</v>
      </c>
      <c r="O176" s="209">
        <f>SUMIFS(gastos!AH:AH,gastos!$M:$M,ejec_ICPA!$B176,gastos!$P:$P,ejec_ICPA!$A176)</f>
        <v>0</v>
      </c>
      <c r="P176" s="209">
        <f>SUMIFS(gastos!$AF:$AF,gastos!$M:$M,ejec_ICPA!$B176,gastos!$P:$P,ejec_ICPA!$A176)</f>
        <v>7425000</v>
      </c>
      <c r="Q176" s="209">
        <f>SUMIFS(gastos!AJ:AJ,gastos!$M:$M,ejec_ICPA!$B176,gastos!$P:$P,ejec_ICPA!$A176)</f>
        <v>7425000</v>
      </c>
      <c r="R176" s="209">
        <f t="shared" ref="R176" si="190">K176-L176</f>
        <v>0</v>
      </c>
      <c r="S176" s="209">
        <f t="shared" ref="S176" si="191">L176-J176</f>
        <v>0</v>
      </c>
      <c r="T176" s="209">
        <f t="shared" ref="T176" si="192">J176-M176</f>
        <v>0</v>
      </c>
    </row>
    <row r="177" spans="1:24" s="105" customFormat="1" x14ac:dyDescent="0.3">
      <c r="A177" s="113" t="s">
        <v>941</v>
      </c>
      <c r="B177" s="217" t="s">
        <v>384</v>
      </c>
      <c r="C177" s="218">
        <f>SUM(C178)</f>
        <v>0</v>
      </c>
      <c r="D177" s="218">
        <f>SUM(D178)</f>
        <v>0</v>
      </c>
      <c r="E177" s="218">
        <f t="shared" ref="E177:T177" si="193">SUM(E178)</f>
        <v>50000000</v>
      </c>
      <c r="F177" s="218">
        <f t="shared" si="193"/>
        <v>0</v>
      </c>
      <c r="G177" s="218">
        <f t="shared" si="193"/>
        <v>0</v>
      </c>
      <c r="H177" s="218">
        <f t="shared" si="193"/>
        <v>0</v>
      </c>
      <c r="I177" s="218">
        <f t="shared" si="193"/>
        <v>50000000</v>
      </c>
      <c r="J177" s="218">
        <f t="shared" si="193"/>
        <v>45540000</v>
      </c>
      <c r="K177" s="218">
        <f t="shared" si="193"/>
        <v>45540000</v>
      </c>
      <c r="L177" s="218">
        <f t="shared" si="193"/>
        <v>45540000</v>
      </c>
      <c r="M177" s="218">
        <f t="shared" si="193"/>
        <v>45540000</v>
      </c>
      <c r="N177" s="218">
        <f t="shared" si="193"/>
        <v>0</v>
      </c>
      <c r="O177" s="218">
        <f t="shared" si="193"/>
        <v>0</v>
      </c>
      <c r="P177" s="218">
        <f t="shared" si="193"/>
        <v>13662000</v>
      </c>
      <c r="Q177" s="218">
        <f t="shared" si="193"/>
        <v>13662000</v>
      </c>
      <c r="R177" s="218">
        <f t="shared" si="193"/>
        <v>0</v>
      </c>
      <c r="S177" s="218">
        <f t="shared" si="193"/>
        <v>0</v>
      </c>
      <c r="T177" s="218">
        <f t="shared" si="193"/>
        <v>0</v>
      </c>
      <c r="U177" s="208"/>
      <c r="V177" s="208"/>
      <c r="W177" s="208"/>
      <c r="X177" s="208"/>
    </row>
    <row r="178" spans="1:24" x14ac:dyDescent="0.3">
      <c r="A178" s="111" t="s">
        <v>930</v>
      </c>
      <c r="B178" s="111" t="s">
        <v>391</v>
      </c>
      <c r="C178" s="219">
        <v>0</v>
      </c>
      <c r="D178" s="209">
        <f>SUMIFS(gastos!Q:Q,gastos!M:M,ejec_ICPA!B178,gastos!P:P,ejec_ICPA!A178)</f>
        <v>0</v>
      </c>
      <c r="E178" s="209">
        <f>SUMIFS(gastos!R:R,gastos!M:M,ejec_ICPA!B178,gastos!P:P,ejec_ICPA!A178)</f>
        <v>50000000</v>
      </c>
      <c r="F178" s="209">
        <f>SUMIFS(gastos!S:S,gastos!M:M,ejec_ICPA!B178,gastos!P:P,ejec_ICPA!A178)</f>
        <v>0</v>
      </c>
      <c r="G178" s="209">
        <v>0</v>
      </c>
      <c r="H178" s="209">
        <v>0</v>
      </c>
      <c r="I178" s="209">
        <f t="shared" ref="I178" si="194">D178+E178-F178+G178-H178</f>
        <v>50000000</v>
      </c>
      <c r="J178" s="209">
        <f>SUMIFS(gastos!W:W,gastos!M:M,ejec_ICPA!B178,gastos!P:P,ejec_ICPA!A178)</f>
        <v>45540000</v>
      </c>
      <c r="K178" s="209">
        <f>SUMIFS(gastos!X:X,gastos!$M:$M,ejec_ICPA!B178,gastos!$P:$P,ejec_ICPA!A178)</f>
        <v>45540000</v>
      </c>
      <c r="L178" s="209">
        <f>SUMIFS(gastos!$Z:$Z,gastos!$M:$M,ejec_ICPA!$B178,gastos!$P:$P,ejec_ICPA!$A178)</f>
        <v>45540000</v>
      </c>
      <c r="M178" s="209">
        <f>SUMIFS(gastos!$AE:$AE,gastos!$M:$M,ejec_ICPA!$B178,gastos!$P:$P,ejec_ICPA!$A178)</f>
        <v>45540000</v>
      </c>
      <c r="N178" s="209">
        <f>SUMIFS(gastos!AG:AG,gastos!$M:$M,ejec_ICPA!B178,gastos!$P:$P,ejec_ICPA!A178)</f>
        <v>0</v>
      </c>
      <c r="O178" s="209">
        <f>SUMIFS(gastos!AH:AH,gastos!$M:$M,ejec_ICPA!$B178,gastos!$P:$P,ejec_ICPA!$A178)</f>
        <v>0</v>
      </c>
      <c r="P178" s="209">
        <f>SUMIFS(gastos!$AF:$AF,gastos!$M:$M,ejec_ICPA!$B178,gastos!$P:$P,ejec_ICPA!$A178)</f>
        <v>13662000</v>
      </c>
      <c r="Q178" s="209">
        <f>SUMIFS(gastos!AJ:AJ,gastos!$M:$M,ejec_ICPA!$B178,gastos!$P:$P,ejec_ICPA!$A178)</f>
        <v>13662000</v>
      </c>
      <c r="R178" s="209">
        <f t="shared" ref="R178" si="195">K178-L178</f>
        <v>0</v>
      </c>
      <c r="S178" s="209">
        <f t="shared" ref="S178" si="196">L178-J178</f>
        <v>0</v>
      </c>
      <c r="T178" s="209">
        <f t="shared" ref="T178" si="197">J178-M178</f>
        <v>0</v>
      </c>
    </row>
    <row r="179" spans="1:24" s="105" customFormat="1" x14ac:dyDescent="0.3">
      <c r="A179" s="113" t="s">
        <v>712</v>
      </c>
      <c r="B179" s="217" t="s">
        <v>448</v>
      </c>
      <c r="C179" s="218">
        <f>SUM(C180:C184)</f>
        <v>1928324822</v>
      </c>
      <c r="D179" s="218">
        <f t="shared" ref="D179:T179" si="198">SUM(D180:D184)</f>
        <v>1928324822</v>
      </c>
      <c r="E179" s="218">
        <f t="shared" si="198"/>
        <v>0</v>
      </c>
      <c r="F179" s="218">
        <f t="shared" si="198"/>
        <v>701874892</v>
      </c>
      <c r="G179" s="218">
        <f t="shared" si="198"/>
        <v>1135529930</v>
      </c>
      <c r="H179" s="218">
        <f t="shared" si="198"/>
        <v>1135529930</v>
      </c>
      <c r="I179" s="218">
        <f t="shared" si="198"/>
        <v>1226449930</v>
      </c>
      <c r="J179" s="218">
        <f t="shared" si="198"/>
        <v>795597825</v>
      </c>
      <c r="K179" s="218">
        <f t="shared" si="198"/>
        <v>795597825</v>
      </c>
      <c r="L179" s="218">
        <f t="shared" si="198"/>
        <v>795597825</v>
      </c>
      <c r="M179" s="218">
        <f t="shared" si="198"/>
        <v>600182400</v>
      </c>
      <c r="N179" s="218">
        <f t="shared" si="198"/>
        <v>-222059477</v>
      </c>
      <c r="O179" s="218">
        <f t="shared" si="198"/>
        <v>0</v>
      </c>
      <c r="P179" s="218">
        <f t="shared" si="198"/>
        <v>543685825</v>
      </c>
      <c r="Q179" s="218">
        <f t="shared" si="198"/>
        <v>348270400</v>
      </c>
      <c r="R179" s="218">
        <f t="shared" si="198"/>
        <v>0</v>
      </c>
      <c r="S179" s="218">
        <f t="shared" si="198"/>
        <v>0</v>
      </c>
      <c r="T179" s="218">
        <f t="shared" si="198"/>
        <v>195415425</v>
      </c>
      <c r="U179" s="208"/>
      <c r="V179" s="208"/>
      <c r="W179" s="208"/>
      <c r="X179" s="208"/>
    </row>
    <row r="180" spans="1:24" x14ac:dyDescent="0.3">
      <c r="A180" s="111" t="s">
        <v>455</v>
      </c>
      <c r="B180" s="222" t="s">
        <v>454</v>
      </c>
      <c r="C180" s="215">
        <v>30963803</v>
      </c>
      <c r="D180" s="209">
        <f>SUMIFS(gastos!Q:Q,gastos!M:M,ejec_ICPA!B180,gastos!P:P,ejec_ICPA!A180)</f>
        <v>30963803</v>
      </c>
      <c r="E180" s="209">
        <f>SUMIFS(gastos!R:R,gastos!M:M,ejec_ICPA!B180,gastos!P:P,ejec_ICPA!A180)</f>
        <v>0</v>
      </c>
      <c r="F180" s="209">
        <f>SUMIFS(gastos!S:S,gastos!M:M,ejec_ICPA!B180,gastos!P:P,ejec_ICPA!A180)</f>
        <v>30963803</v>
      </c>
      <c r="G180" s="209">
        <f>SUMIFS(gastos!T:T,gastos!M:M,ejec_ICPA!B180,gastos!P:P,ejec_ICPA!A180)</f>
        <v>0</v>
      </c>
      <c r="H180" s="209">
        <f>SUMIFS(gastos!U:U,gastos!M:M,ejec_ICPA!B180,gastos!P:P,ejec_ICPA!A180)</f>
        <v>0</v>
      </c>
      <c r="I180" s="209">
        <f t="shared" ref="I180:I183" si="199">D180+E180-F180+G180-H180</f>
        <v>0</v>
      </c>
      <c r="J180" s="209">
        <f>SUMIFS(gastos!W:W,gastos!M:M,ejec_ICPA!B180,gastos!P:P,ejec_ICPA!A180)</f>
        <v>0</v>
      </c>
      <c r="K180" s="209">
        <f>SUMIFS(gastos!X:X,gastos!$M:$M,ejec_ICPA!B180,gastos!$P:$P,ejec_ICPA!A180)</f>
        <v>0</v>
      </c>
      <c r="L180" s="209">
        <f>SUMIFS(gastos!$Z:$Z,gastos!$M:$M,ejec_ICPA!$B180,gastos!$P:$P,ejec_ICPA!$A180)</f>
        <v>0</v>
      </c>
      <c r="M180" s="209">
        <f>SUMIFS(gastos!$AE:$AE,gastos!$M:$M,ejec_ICPA!$B180,gastos!$P:$P,ejec_ICPA!$A180)</f>
        <v>0</v>
      </c>
      <c r="N180" s="209">
        <f>SUMIFS(gastos!AG:AG,gastos!$M:$M,ejec_ICPA!B180,gastos!$P:$P,ejec_ICPA!A180)</f>
        <v>0</v>
      </c>
      <c r="O180" s="209">
        <f>SUMIFS(gastos!AH:AH,gastos!$M:$M,ejec_ICPA!$B180,gastos!$P:$P,ejec_ICPA!$A180)</f>
        <v>0</v>
      </c>
      <c r="P180" s="209">
        <f>SUMIFS(gastos!$AF:$AF,gastos!$M:$M,ejec_ICPA!$B180,gastos!$P:$P,ejec_ICPA!$A180)</f>
        <v>0</v>
      </c>
      <c r="Q180" s="209">
        <f>SUMIFS(gastos!AJ:AJ,gastos!$M:$M,ejec_ICPA!$B180,gastos!$P:$P,ejec_ICPA!$A180)</f>
        <v>0</v>
      </c>
      <c r="R180" s="209">
        <f t="shared" ref="R180:R183" si="200">K180-L180</f>
        <v>0</v>
      </c>
      <c r="S180" s="209">
        <f t="shared" ref="S180:S183" si="201">L180-J180</f>
        <v>0</v>
      </c>
      <c r="T180" s="209">
        <f t="shared" ref="T180:T183" si="202">J180-M180</f>
        <v>0</v>
      </c>
    </row>
    <row r="181" spans="1:24" x14ac:dyDescent="0.3">
      <c r="A181" s="111" t="s">
        <v>458</v>
      </c>
      <c r="B181" s="220" t="s">
        <v>457</v>
      </c>
      <c r="C181" s="219">
        <v>1843361019</v>
      </c>
      <c r="D181" s="209">
        <f>SUMIFS(gastos!Q:Q,gastos!M:M,ejec_ICPA!B181,gastos!P:P,ejec_ICPA!A181)</f>
        <v>1843361019</v>
      </c>
      <c r="E181" s="209">
        <f>SUMIFS(gastos!R:R,gastos!M:M,ejec_ICPA!B181,gastos!P:P,ejec_ICPA!A181)</f>
        <v>0</v>
      </c>
      <c r="F181" s="209">
        <f>SUMIFS(gastos!S:S,gastos!M:M,ejec_ICPA!B181,gastos!P:P,ejec_ICPA!A181)</f>
        <v>620911089</v>
      </c>
      <c r="G181" s="209">
        <f>SUMIFS(gastos!T:T,gastos!M:M,ejec_ICPA!B181,gastos!P:P,ejec_ICPA!A181)</f>
        <v>0</v>
      </c>
      <c r="H181" s="209">
        <f>SUMIFS(gastos!U:U,gastos!M:M,ejec_ICPA!B181,gastos!P:P,ejec_ICPA!A181)</f>
        <v>1135529930</v>
      </c>
      <c r="I181" s="209">
        <f t="shared" si="199"/>
        <v>86920000</v>
      </c>
      <c r="J181" s="209">
        <f>SUMIFS(gastos!W:W,gastos!M:M,ejec_ICPA!B181,gastos!P:P,ejec_ICPA!A181)</f>
        <v>56920000</v>
      </c>
      <c r="K181" s="209">
        <f>SUMIFS(gastos!X:X,gastos!$M:$M,ejec_ICPA!B181,gastos!$P:$P,ejec_ICPA!A181)</f>
        <v>56920000</v>
      </c>
      <c r="L181" s="209">
        <f>SUMIFS(gastos!$Z:$Z,gastos!$M:$M,ejec_ICPA!$B181,gastos!$P:$P,ejec_ICPA!$A181)</f>
        <v>56920000</v>
      </c>
      <c r="M181" s="209">
        <f>SUMIFS(gastos!$AE:$AE,gastos!$M:$M,ejec_ICPA!$B181,gastos!$P:$P,ejec_ICPA!$A181)</f>
        <v>56920000</v>
      </c>
      <c r="N181" s="209">
        <f>SUMIFS(gastos!AG:AG,gastos!$M:$M,ejec_ICPA!B181,gastos!$P:$P,ejec_ICPA!A181)</f>
        <v>-30000000</v>
      </c>
      <c r="O181" s="209">
        <f>SUMIFS(gastos!AH:AH,gastos!$M:$M,ejec_ICPA!$B181,gastos!$P:$P,ejec_ICPA!$A181)</f>
        <v>0</v>
      </c>
      <c r="P181" s="209">
        <f>SUMIFS(gastos!$AF:$AF,gastos!$M:$M,ejec_ICPA!$B181,gastos!$P:$P,ejec_ICPA!$A181)</f>
        <v>26920000</v>
      </c>
      <c r="Q181" s="209">
        <f>SUMIFS(gastos!AJ:AJ,gastos!$M:$M,ejec_ICPA!$B181,gastos!$P:$P,ejec_ICPA!$A181)</f>
        <v>26920000</v>
      </c>
      <c r="R181" s="209">
        <f t="shared" si="200"/>
        <v>0</v>
      </c>
      <c r="S181" s="209">
        <f t="shared" si="201"/>
        <v>0</v>
      </c>
      <c r="T181" s="209">
        <f t="shared" si="202"/>
        <v>0</v>
      </c>
    </row>
    <row r="182" spans="1:24" x14ac:dyDescent="0.3">
      <c r="A182" s="111" t="s">
        <v>461</v>
      </c>
      <c r="B182" s="220" t="s">
        <v>460</v>
      </c>
      <c r="C182" s="219">
        <v>50000000</v>
      </c>
      <c r="D182" s="209">
        <f>SUMIFS(gastos!Q:Q,gastos!M:M,ejec_ICPA!B182,gastos!P:P,ejec_ICPA!A182)</f>
        <v>50000000</v>
      </c>
      <c r="E182" s="209">
        <f>SUMIFS(gastos!R:R,gastos!M:M,ejec_ICPA!B182,gastos!P:P,ejec_ICPA!A182)</f>
        <v>0</v>
      </c>
      <c r="F182" s="209">
        <f>SUMIFS(gastos!S:S,gastos!M:M,ejec_ICPA!B182,gastos!P:P,ejec_ICPA!A182)</f>
        <v>50000000</v>
      </c>
      <c r="G182" s="209">
        <f>SUMIFS(gastos!T:T,gastos!M:M,ejec_ICPA!B182,gastos!P:P,ejec_ICPA!A182)</f>
        <v>0</v>
      </c>
      <c r="H182" s="209">
        <f>SUMIFS(gastos!U:U,gastos!M:M,ejec_ICPA!B182,gastos!P:P,ejec_ICPA!A182)</f>
        <v>0</v>
      </c>
      <c r="I182" s="209">
        <f t="shared" si="199"/>
        <v>0</v>
      </c>
      <c r="J182" s="209">
        <f>SUMIFS(gastos!W:W,gastos!M:M,ejec_ICPA!B182,gastos!P:P,ejec_ICPA!A182)</f>
        <v>0</v>
      </c>
      <c r="K182" s="209">
        <f>SUMIFS(gastos!X:X,gastos!$M:$M,ejec_ICPA!B182,gastos!$P:$P,ejec_ICPA!A182)</f>
        <v>0</v>
      </c>
      <c r="L182" s="209">
        <f>SUMIFS(gastos!$Z:$Z,gastos!$M:$M,ejec_ICPA!$B182,gastos!$P:$P,ejec_ICPA!$A182)</f>
        <v>0</v>
      </c>
      <c r="M182" s="209">
        <f>SUMIFS(gastos!$AE:$AE,gastos!$M:$M,ejec_ICPA!$B182,gastos!$P:$P,ejec_ICPA!$A182)</f>
        <v>0</v>
      </c>
      <c r="N182" s="209">
        <f>SUMIFS(gastos!AG:AG,gastos!$M:$M,ejec_ICPA!B182,gastos!$P:$P,ejec_ICPA!A182)</f>
        <v>0</v>
      </c>
      <c r="O182" s="209">
        <f>SUMIFS(gastos!AH:AH,gastos!$M:$M,ejec_ICPA!$B182,gastos!$P:$P,ejec_ICPA!$A182)</f>
        <v>0</v>
      </c>
      <c r="P182" s="209">
        <f>SUMIFS(gastos!$AF:$AF,gastos!$M:$M,ejec_ICPA!$B182,gastos!$P:$P,ejec_ICPA!$A182)</f>
        <v>0</v>
      </c>
      <c r="Q182" s="209">
        <f>SUMIFS(gastos!AJ:AJ,gastos!$M:$M,ejec_ICPA!$B182,gastos!$P:$P,ejec_ICPA!$A182)</f>
        <v>0</v>
      </c>
      <c r="R182" s="209">
        <f t="shared" si="200"/>
        <v>0</v>
      </c>
      <c r="S182" s="209">
        <f t="shared" si="201"/>
        <v>0</v>
      </c>
      <c r="T182" s="209">
        <f t="shared" si="202"/>
        <v>0</v>
      </c>
    </row>
    <row r="183" spans="1:24" x14ac:dyDescent="0.3">
      <c r="A183" s="111" t="s">
        <v>464</v>
      </c>
      <c r="B183" s="220" t="s">
        <v>463</v>
      </c>
      <c r="C183" s="219">
        <v>4000000</v>
      </c>
      <c r="D183" s="209">
        <f>SUMIFS(gastos!Q:Q,gastos!M:M,ejec_ICPA!B183,gastos!P:P,ejec_ICPA!A183)</f>
        <v>4000000</v>
      </c>
      <c r="E183" s="209">
        <f>SUMIFS(gastos!R:R,gastos!M:M,ejec_ICPA!B183,gastos!P:P,ejec_ICPA!A183)</f>
        <v>0</v>
      </c>
      <c r="F183" s="209">
        <f>SUMIFS(gastos!S:S,gastos!M:M,ejec_ICPA!B183,gastos!P:P,ejec_ICPA!A183)</f>
        <v>0</v>
      </c>
      <c r="G183" s="209">
        <f>SUMIFS(gastos!T:T,gastos!M:M,ejec_ICPA!B183,gastos!P:P,ejec_ICPA!A183)</f>
        <v>739458751</v>
      </c>
      <c r="H183" s="209">
        <f>SUMIFS(gastos!U:U,gastos!M:M,ejec_ICPA!B183,gastos!P:P,ejec_ICPA!A183)</f>
        <v>0</v>
      </c>
      <c r="I183" s="209">
        <f t="shared" si="199"/>
        <v>743458751</v>
      </c>
      <c r="J183" s="209">
        <f>SUMIFS(gastos!W:W,gastos!M:M,ejec_ICPA!B183,gastos!P:P,ejec_ICPA!A183)</f>
        <v>583522476</v>
      </c>
      <c r="K183" s="209">
        <f>SUMIFS(gastos!X:X,gastos!$M:$M,ejec_ICPA!B183,gastos!$P:$P,ejec_ICPA!A183)</f>
        <v>583522476</v>
      </c>
      <c r="L183" s="209">
        <f>SUMIFS(gastos!$Z:$Z,gastos!$M:$M,ejec_ICPA!$B183,gastos!$P:$P,ejec_ICPA!$A183)</f>
        <v>583522476</v>
      </c>
      <c r="M183" s="209">
        <f>SUMIFS(gastos!$AE:$AE,gastos!$M:$M,ejec_ICPA!$B183,gastos!$P:$P,ejec_ICPA!$A183)</f>
        <v>454602201</v>
      </c>
      <c r="N183" s="209">
        <f>SUMIFS(gastos!AG:AG,gastos!$M:$M,ejec_ICPA!B183,gastos!$P:$P,ejec_ICPA!A183)</f>
        <v>-69965000</v>
      </c>
      <c r="O183" s="209">
        <f>SUMIFS(gastos!AH:AH,gastos!$M:$M,ejec_ICPA!$B183,gastos!$P:$P,ejec_ICPA!$A183)</f>
        <v>0</v>
      </c>
      <c r="P183" s="209">
        <f>SUMIFS(gastos!$AF:$AF,gastos!$M:$M,ejec_ICPA!$B183,gastos!$P:$P,ejec_ICPA!$A183)</f>
        <v>361610476</v>
      </c>
      <c r="Q183" s="209">
        <f>SUMIFS(gastos!AJ:AJ,gastos!$M:$M,ejec_ICPA!$B183,gastos!$P:$P,ejec_ICPA!$A183)</f>
        <v>232690201</v>
      </c>
      <c r="R183" s="209">
        <f t="shared" si="200"/>
        <v>0</v>
      </c>
      <c r="S183" s="209">
        <f t="shared" si="201"/>
        <v>0</v>
      </c>
      <c r="T183" s="209">
        <f t="shared" si="202"/>
        <v>128920275</v>
      </c>
    </row>
    <row r="184" spans="1:24" x14ac:dyDescent="0.3">
      <c r="A184" s="111" t="s">
        <v>834</v>
      </c>
      <c r="B184" s="111" t="s">
        <v>833</v>
      </c>
      <c r="C184" s="219">
        <v>0</v>
      </c>
      <c r="D184" s="209">
        <f>SUMIFS(gastos!Q:Q,gastos!M:M,ejec_ICPA!B184,gastos!P:P,ejec_ICPA!A184)</f>
        <v>0</v>
      </c>
      <c r="E184" s="209">
        <f>SUMIFS(gastos!R:R,gastos!M:M,ejec_ICPA!B184,gastos!P:P,ejec_ICPA!A184)</f>
        <v>0</v>
      </c>
      <c r="F184" s="209">
        <f>SUMIFS(gastos!S:S,gastos!M:M,ejec_ICPA!B184,gastos!P:P,ejec_ICPA!A184)</f>
        <v>0</v>
      </c>
      <c r="G184" s="209">
        <f>SUMIFS(gastos!T:T,gastos!M:M,ejec_ICPA!B184,gastos!P:P,ejec_ICPA!A184)</f>
        <v>396071179</v>
      </c>
      <c r="H184" s="209">
        <f>SUMIFS(gastos!U:U,gastos!M:M,ejec_ICPA!B184,gastos!P:P,ejec_ICPA!A184)</f>
        <v>0</v>
      </c>
      <c r="I184" s="209">
        <f t="shared" ref="I184" si="203">D184+E184-F184+G184-H184</f>
        <v>396071179</v>
      </c>
      <c r="J184" s="209">
        <f>SUMIFS(gastos!W:W,gastos!M:M,ejec_ICPA!B184,gastos!P:P,ejec_ICPA!A184)</f>
        <v>155155349</v>
      </c>
      <c r="K184" s="209">
        <f>SUMIFS(gastos!X:X,gastos!$M:$M,ejec_ICPA!B184,gastos!$P:$P,ejec_ICPA!A184)</f>
        <v>155155349</v>
      </c>
      <c r="L184" s="209">
        <f>SUMIFS(gastos!$Z:$Z,gastos!$M:$M,ejec_ICPA!$B184,gastos!$P:$P,ejec_ICPA!$A184)</f>
        <v>155155349</v>
      </c>
      <c r="M184" s="209">
        <f>SUMIFS(gastos!$AE:$AE,gastos!$M:$M,ejec_ICPA!$B184,gastos!$P:$P,ejec_ICPA!$A184)</f>
        <v>88660199</v>
      </c>
      <c r="N184" s="209">
        <f>SUMIFS(gastos!AG:AG,gastos!$M:$M,ejec_ICPA!B184,gastos!$P:$P,ejec_ICPA!A184)</f>
        <v>-122094477</v>
      </c>
      <c r="O184" s="209">
        <f>SUMIFS(gastos!AH:AH,gastos!$M:$M,ejec_ICPA!$B184,gastos!$P:$P,ejec_ICPA!$A184)</f>
        <v>0</v>
      </c>
      <c r="P184" s="209">
        <f>SUMIFS(gastos!$AF:$AF,gastos!$M:$M,ejec_ICPA!$B184,gastos!$P:$P,ejec_ICPA!$A184)</f>
        <v>155155349</v>
      </c>
      <c r="Q184" s="209">
        <f>SUMIFS(gastos!AJ:AJ,gastos!$M:$M,ejec_ICPA!$B184,gastos!$P:$P,ejec_ICPA!$A184)</f>
        <v>88660199</v>
      </c>
      <c r="R184" s="209">
        <f t="shared" ref="R184" si="204">K184-L184</f>
        <v>0</v>
      </c>
      <c r="S184" s="209">
        <f t="shared" ref="S184" si="205">L184-J184</f>
        <v>0</v>
      </c>
      <c r="T184" s="209">
        <f t="shared" ref="T184" si="206">J184-M184</f>
        <v>66495150</v>
      </c>
    </row>
    <row r="185" spans="1:24" s="105" customFormat="1" x14ac:dyDescent="0.3">
      <c r="A185" s="113" t="s">
        <v>893</v>
      </c>
      <c r="B185" s="217" t="s">
        <v>448</v>
      </c>
      <c r="C185" s="218">
        <f>SUM(C186:C189)</f>
        <v>0</v>
      </c>
      <c r="D185" s="218">
        <f t="shared" ref="D185:T185" si="207">SUM(D186:D189)</f>
        <v>0</v>
      </c>
      <c r="E185" s="218">
        <f t="shared" si="207"/>
        <v>63558656</v>
      </c>
      <c r="F185" s="218">
        <f t="shared" si="207"/>
        <v>0</v>
      </c>
      <c r="G185" s="218">
        <f t="shared" si="207"/>
        <v>133225499</v>
      </c>
      <c r="H185" s="218">
        <f t="shared" si="207"/>
        <v>15000000</v>
      </c>
      <c r="I185" s="218">
        <f t="shared" si="207"/>
        <v>181784155</v>
      </c>
      <c r="J185" s="218">
        <f t="shared" si="207"/>
        <v>70590268</v>
      </c>
      <c r="K185" s="218">
        <f t="shared" si="207"/>
        <v>70590268</v>
      </c>
      <c r="L185" s="218">
        <f t="shared" si="207"/>
        <v>70590268</v>
      </c>
      <c r="M185" s="218">
        <f t="shared" si="207"/>
        <v>70590268</v>
      </c>
      <c r="N185" s="218">
        <f t="shared" si="207"/>
        <v>-91719993</v>
      </c>
      <c r="O185" s="218">
        <f t="shared" si="207"/>
        <v>0</v>
      </c>
      <c r="P185" s="218">
        <f t="shared" si="207"/>
        <v>28997420</v>
      </c>
      <c r="Q185" s="218">
        <f t="shared" si="207"/>
        <v>28997420</v>
      </c>
      <c r="R185" s="218">
        <f t="shared" si="207"/>
        <v>0</v>
      </c>
      <c r="S185" s="218">
        <f t="shared" si="207"/>
        <v>0</v>
      </c>
      <c r="T185" s="218">
        <f t="shared" si="207"/>
        <v>0</v>
      </c>
      <c r="U185" s="208"/>
      <c r="V185" s="208"/>
      <c r="W185" s="208"/>
      <c r="X185" s="208"/>
    </row>
    <row r="186" spans="1:24" x14ac:dyDescent="0.3">
      <c r="A186" s="544" t="s">
        <v>969</v>
      </c>
      <c r="B186" s="544" t="s">
        <v>454</v>
      </c>
      <c r="C186" s="219">
        <v>0</v>
      </c>
      <c r="D186" s="209">
        <f>SUMIFS(gastos!Q:Q,gastos!M:M,ejec_ICPA!B186,gastos!P:P,ejec_ICPA!A186)</f>
        <v>0</v>
      </c>
      <c r="E186" s="209">
        <f>SUMIFS(gastos!R:R,gastos!M:M,ejec_ICPA!B186,gastos!P:P,ejec_ICPA!A186)</f>
        <v>0</v>
      </c>
      <c r="F186" s="209">
        <f>SUMIFS(gastos!S:S,gastos!M:M,ejec_ICPA!B186,gastos!P:P,ejec_ICPA!A186)</f>
        <v>0</v>
      </c>
      <c r="G186" s="209">
        <f>SUMIFS(gastos!T:T,gastos!M:M,ejec_ICPA!B186,gastos!P:P,ejec_ICPA!A186)</f>
        <v>30000000</v>
      </c>
      <c r="H186" s="209">
        <f>SUMIFS(gastos!U:U,gastos!M:M,ejec_ICPA!B186,gastos!P:P,ejec_ICPA!A186)</f>
        <v>0</v>
      </c>
      <c r="I186" s="209">
        <f t="shared" ref="I186" si="208">D186+E186-F186+G186-H186</f>
        <v>30000000</v>
      </c>
      <c r="J186" s="209">
        <f>SUMIFS(gastos!W:W,gastos!M:M,ejec_ICPA!B186,gastos!P:P,ejec_ICPA!A186)</f>
        <v>30000000</v>
      </c>
      <c r="K186" s="209">
        <f>SUMIFS(gastos!X:X,gastos!$M:$M,ejec_ICPA!B186,gastos!$P:$P,ejec_ICPA!A186)</f>
        <v>30000000</v>
      </c>
      <c r="L186" s="209">
        <f>SUMIFS(gastos!$Z:$Z,gastos!$M:$M,ejec_ICPA!$B186,gastos!$P:$P,ejec_ICPA!$A186)</f>
        <v>30000000</v>
      </c>
      <c r="M186" s="209">
        <f>SUMIFS(gastos!$AE:$AE,gastos!$M:$M,ejec_ICPA!$B186,gastos!$P:$P,ejec_ICPA!$A186)</f>
        <v>30000000</v>
      </c>
      <c r="N186" s="209">
        <f>SUMIFS(gastos!AG:AG,gastos!$M:$M,ejec_ICPA!B186,gastos!$P:$P,ejec_ICPA!A186)</f>
        <v>0</v>
      </c>
      <c r="O186" s="209">
        <f>SUMIFS(gastos!AH:AH,gastos!$M:$M,ejec_ICPA!$B186,gastos!$P:$P,ejec_ICPA!$A186)</f>
        <v>0</v>
      </c>
      <c r="P186" s="209">
        <f>SUMIFS(gastos!$AF:$AF,gastos!$M:$M,ejec_ICPA!$B186,gastos!$P:$P,ejec_ICPA!$A186)</f>
        <v>24000000</v>
      </c>
      <c r="Q186" s="209">
        <f>SUMIFS(gastos!AJ:AJ,gastos!$M:$M,ejec_ICPA!$B186,gastos!$P:$P,ejec_ICPA!$A186)</f>
        <v>24000000</v>
      </c>
      <c r="R186" s="209">
        <f t="shared" ref="R186" si="209">K186-L186</f>
        <v>0</v>
      </c>
      <c r="S186" s="209">
        <f t="shared" ref="S186" si="210">L186-J186</f>
        <v>0</v>
      </c>
      <c r="T186" s="209">
        <f t="shared" ref="T186" si="211">J186-M186</f>
        <v>0</v>
      </c>
    </row>
    <row r="187" spans="1:24" x14ac:dyDescent="0.3">
      <c r="A187" s="111" t="s">
        <v>850</v>
      </c>
      <c r="B187" s="111" t="s">
        <v>457</v>
      </c>
      <c r="C187" s="219">
        <v>0</v>
      </c>
      <c r="D187" s="209">
        <f>SUMIFS(gastos!Q:Q,gastos!M:M,ejec_ICPA!B187,gastos!P:P,ejec_ICPA!A187)</f>
        <v>0</v>
      </c>
      <c r="E187" s="209">
        <f>SUMIFS(gastos!R:R,gastos!M:M,ejec_ICPA!B187,gastos!P:P,ejec_ICPA!A187)</f>
        <v>63558656</v>
      </c>
      <c r="F187" s="209">
        <f>SUMIFS(gastos!S:S,gastos!M:M,ejec_ICPA!B187,gastos!P:P,ejec_ICPA!A187)</f>
        <v>0</v>
      </c>
      <c r="G187" s="209">
        <f>SUMIFS(gastos!T:T,gastos!M:M,ejec_ICPA!B187,gastos!P:P,ejec_ICPA!A187)</f>
        <v>0</v>
      </c>
      <c r="H187" s="209">
        <f>SUMIFS(gastos!U:U,gastos!M:M,ejec_ICPA!B187,gastos!P:P,ejec_ICPA!A187)</f>
        <v>15000000</v>
      </c>
      <c r="I187" s="209">
        <f t="shared" ref="I187:I192" si="212">D187+E187-F187+G187-H187</f>
        <v>48558656</v>
      </c>
      <c r="J187" s="209">
        <f>SUMIFS(gastos!W:W,gastos!M:M,ejec_ICPA!B187,gastos!P:P,ejec_ICPA!A187)</f>
        <v>35592848</v>
      </c>
      <c r="K187" s="209">
        <f>SUMIFS(gastos!X:X,gastos!$M:$M,ejec_ICPA!B187,gastos!$P:$P,ejec_ICPA!A187)</f>
        <v>35592848</v>
      </c>
      <c r="L187" s="209">
        <f>SUMIFS(gastos!$Z:$Z,gastos!$M:$M,ejec_ICPA!$B187,gastos!$P:$P,ejec_ICPA!$A187)</f>
        <v>35592848</v>
      </c>
      <c r="M187" s="209">
        <f>SUMIFS(gastos!$AE:$AE,gastos!$M:$M,ejec_ICPA!$B187,gastos!$P:$P,ejec_ICPA!$A187)</f>
        <v>35592848</v>
      </c>
      <c r="N187" s="209">
        <f>SUMIFS(gastos!AG:AG,gastos!$M:$M,ejec_ICPA!B187,gastos!$P:$P,ejec_ICPA!A187)</f>
        <v>-8898211</v>
      </c>
      <c r="O187" s="209">
        <f>SUMIFS(gastos!AH:AH,gastos!$M:$M,ejec_ICPA!$B187,gastos!$P:$P,ejec_ICPA!$A187)</f>
        <v>0</v>
      </c>
      <c r="P187" s="209">
        <f>SUMIFS(gastos!$AF:$AF,gastos!$M:$M,ejec_ICPA!$B187,gastos!$P:$P,ejec_ICPA!$A187)</f>
        <v>0</v>
      </c>
      <c r="Q187" s="209">
        <f>SUMIFS(gastos!AJ:AJ,gastos!$M:$M,ejec_ICPA!$B187,gastos!$P:$P,ejec_ICPA!$A187)</f>
        <v>0</v>
      </c>
      <c r="R187" s="209">
        <f t="shared" ref="R187:R192" si="213">K187-L187</f>
        <v>0</v>
      </c>
      <c r="S187" s="209">
        <f t="shared" ref="S187:S192" si="214">L187-J187</f>
        <v>0</v>
      </c>
      <c r="T187" s="209">
        <f t="shared" ref="T187:T192" si="215">J187-M187</f>
        <v>0</v>
      </c>
    </row>
    <row r="188" spans="1:24" x14ac:dyDescent="0.3">
      <c r="A188" s="544" t="s">
        <v>970</v>
      </c>
      <c r="B188" s="544" t="s">
        <v>463</v>
      </c>
      <c r="C188" s="219">
        <v>0</v>
      </c>
      <c r="D188" s="209">
        <f>SUMIFS(gastos!Q:Q,gastos!M:M,ejec_ICPA!B188,gastos!P:P,ejec_ICPA!A188)</f>
        <v>0</v>
      </c>
      <c r="E188" s="209">
        <f>SUMIFS(gastos!R:R,gastos!M:M,ejec_ICPA!B188,gastos!P:P,ejec_ICPA!A188)</f>
        <v>0</v>
      </c>
      <c r="F188" s="209">
        <f>SUMIFS(gastos!S:S,gastos!M:M,ejec_ICPA!B188,gastos!P:P,ejec_ICPA!A188)</f>
        <v>0</v>
      </c>
      <c r="G188" s="209">
        <f>SUMIFS(gastos!T:T,gastos!M:M,ejec_ICPA!B188,gastos!P:P,ejec_ICPA!A188)</f>
        <v>6225499</v>
      </c>
      <c r="H188" s="209">
        <f>SUMIFS(gastos!U:U,gastos!M:M,ejec_ICPA!B188,gastos!P:P,ejec_ICPA!A188)</f>
        <v>0</v>
      </c>
      <c r="I188" s="209">
        <f t="shared" ref="I188:I189" si="216">D188+E188-F188+G188-H188</f>
        <v>6225499</v>
      </c>
      <c r="J188" s="209">
        <f>SUMIFS(gastos!W:W,gastos!M:M,ejec_ICPA!B188,gastos!P:P,ejec_ICPA!A188)</f>
        <v>4997420</v>
      </c>
      <c r="K188" s="209">
        <f>SUMIFS(gastos!X:X,gastos!$M:$M,ejec_ICPA!B188,gastos!$P:$P,ejec_ICPA!A188)</f>
        <v>4997420</v>
      </c>
      <c r="L188" s="209">
        <f>SUMIFS(gastos!$Z:$Z,gastos!$M:$M,ejec_ICPA!$B188,gastos!$P:$P,ejec_ICPA!$A188)</f>
        <v>4997420</v>
      </c>
      <c r="M188" s="209">
        <f>SUMIFS(gastos!$AE:$AE,gastos!$M:$M,ejec_ICPA!$B188,gastos!$P:$P,ejec_ICPA!$A188)</f>
        <v>4997420</v>
      </c>
      <c r="N188" s="209">
        <f>SUMIFS(gastos!AG:AG,gastos!$M:$M,ejec_ICPA!B188,gastos!$P:$P,ejec_ICPA!A188)</f>
        <v>-1228079</v>
      </c>
      <c r="O188" s="209">
        <f>SUMIFS(gastos!AH:AH,gastos!$M:$M,ejec_ICPA!$B188,gastos!$P:$P,ejec_ICPA!$A188)</f>
        <v>0</v>
      </c>
      <c r="P188" s="209">
        <f>SUMIFS(gastos!$AF:$AF,gastos!$M:$M,ejec_ICPA!$B188,gastos!$P:$P,ejec_ICPA!$A188)</f>
        <v>4997420</v>
      </c>
      <c r="Q188" s="209">
        <f>SUMIFS(gastos!AJ:AJ,gastos!$M:$M,ejec_ICPA!$B188,gastos!$P:$P,ejec_ICPA!$A188)</f>
        <v>4997420</v>
      </c>
      <c r="R188" s="209">
        <f t="shared" ref="R188:R189" si="217">K188-L188</f>
        <v>0</v>
      </c>
      <c r="S188" s="209">
        <f t="shared" ref="S188:S189" si="218">L188-J188</f>
        <v>0</v>
      </c>
      <c r="T188" s="209">
        <f t="shared" ref="T188:T189" si="219">J188-M188</f>
        <v>0</v>
      </c>
    </row>
    <row r="189" spans="1:24" x14ac:dyDescent="0.3">
      <c r="A189" s="544" t="s">
        <v>971</v>
      </c>
      <c r="B189" s="544" t="s">
        <v>833</v>
      </c>
      <c r="C189" s="219">
        <v>0</v>
      </c>
      <c r="D189" s="209">
        <f>SUMIFS(gastos!Q:Q,gastos!M:M,ejec_ICPA!B189,gastos!P:P,ejec_ICPA!A189)</f>
        <v>0</v>
      </c>
      <c r="E189" s="209">
        <f>SUMIFS(gastos!R:R,gastos!M:M,ejec_ICPA!B189,gastos!P:P,ejec_ICPA!A189)</f>
        <v>0</v>
      </c>
      <c r="F189" s="209">
        <f>SUMIFS(gastos!S:S,gastos!M:M,ejec_ICPA!B189,gastos!P:P,ejec_ICPA!A189)</f>
        <v>0</v>
      </c>
      <c r="G189" s="209">
        <f>SUMIFS(gastos!T:T,gastos!M:M,ejec_ICPA!B189,gastos!P:P,ejec_ICPA!A189)</f>
        <v>97000000</v>
      </c>
      <c r="H189" s="209">
        <f>SUMIFS(gastos!U:U,gastos!M:M,ejec_ICPA!B189,gastos!P:P,ejec_ICPA!A189)</f>
        <v>0</v>
      </c>
      <c r="I189" s="209">
        <f t="shared" si="216"/>
        <v>97000000</v>
      </c>
      <c r="J189" s="209">
        <f>SUMIFS(gastos!W:W,gastos!M:M,ejec_ICPA!B189,gastos!P:P,ejec_ICPA!A189)</f>
        <v>0</v>
      </c>
      <c r="K189" s="209">
        <f>SUMIFS(gastos!X:X,gastos!$M:$M,ejec_ICPA!B189,gastos!$P:$P,ejec_ICPA!A189)</f>
        <v>0</v>
      </c>
      <c r="L189" s="209">
        <f>SUMIFS(gastos!$Z:$Z,gastos!$M:$M,ejec_ICPA!$B189,gastos!$P:$P,ejec_ICPA!$A189)</f>
        <v>0</v>
      </c>
      <c r="M189" s="209">
        <f>SUMIFS(gastos!$AE:$AE,gastos!$M:$M,ejec_ICPA!$B189,gastos!$P:$P,ejec_ICPA!$A189)</f>
        <v>0</v>
      </c>
      <c r="N189" s="209">
        <f>SUMIFS(gastos!AG:AG,gastos!$M:$M,ejec_ICPA!B189,gastos!$P:$P,ejec_ICPA!A189)</f>
        <v>-81593703</v>
      </c>
      <c r="O189" s="209">
        <f>SUMIFS(gastos!AH:AH,gastos!$M:$M,ejec_ICPA!$B189,gastos!$P:$P,ejec_ICPA!$A189)</f>
        <v>0</v>
      </c>
      <c r="P189" s="209">
        <f>SUMIFS(gastos!$AF:$AF,gastos!$M:$M,ejec_ICPA!$B189,gastos!$P:$P,ejec_ICPA!$A189)</f>
        <v>0</v>
      </c>
      <c r="Q189" s="209">
        <f>SUMIFS(gastos!AJ:AJ,gastos!$M:$M,ejec_ICPA!$B189,gastos!$P:$P,ejec_ICPA!$A189)</f>
        <v>0</v>
      </c>
      <c r="R189" s="209">
        <f t="shared" si="217"/>
        <v>0</v>
      </c>
      <c r="S189" s="209">
        <f t="shared" si="218"/>
        <v>0</v>
      </c>
      <c r="T189" s="209">
        <f t="shared" si="219"/>
        <v>0</v>
      </c>
    </row>
    <row r="190" spans="1:24" s="105" customFormat="1" x14ac:dyDescent="0.3">
      <c r="A190" s="113" t="s">
        <v>713</v>
      </c>
      <c r="B190" s="217" t="s">
        <v>448</v>
      </c>
      <c r="C190" s="218">
        <f>SUM(C191:C192)</f>
        <v>0</v>
      </c>
      <c r="D190" s="218">
        <f t="shared" ref="D190:T190" si="220">SUM(D191:D192)</f>
        <v>0</v>
      </c>
      <c r="E190" s="218">
        <f t="shared" si="220"/>
        <v>840000000</v>
      </c>
      <c r="F190" s="218">
        <f t="shared" si="220"/>
        <v>0</v>
      </c>
      <c r="G190" s="218">
        <f t="shared" si="220"/>
        <v>495000000</v>
      </c>
      <c r="H190" s="218">
        <f t="shared" si="220"/>
        <v>840000000</v>
      </c>
      <c r="I190" s="218">
        <f t="shared" si="220"/>
        <v>495000000</v>
      </c>
      <c r="J190" s="218">
        <f t="shared" si="220"/>
        <v>447528584</v>
      </c>
      <c r="K190" s="218">
        <f t="shared" si="220"/>
        <v>447528584</v>
      </c>
      <c r="L190" s="218">
        <f t="shared" si="220"/>
        <v>447528584</v>
      </c>
      <c r="M190" s="218">
        <f t="shared" si="220"/>
        <v>275946463</v>
      </c>
      <c r="N190" s="218">
        <f t="shared" si="220"/>
        <v>-2</v>
      </c>
      <c r="O190" s="218">
        <f t="shared" si="220"/>
        <v>0</v>
      </c>
      <c r="P190" s="218">
        <f t="shared" si="220"/>
        <v>447528584</v>
      </c>
      <c r="Q190" s="218">
        <f t="shared" si="220"/>
        <v>275946463</v>
      </c>
      <c r="R190" s="218">
        <f t="shared" si="220"/>
        <v>0</v>
      </c>
      <c r="S190" s="218">
        <f t="shared" si="220"/>
        <v>0</v>
      </c>
      <c r="T190" s="218">
        <f t="shared" si="220"/>
        <v>171582121</v>
      </c>
      <c r="U190" s="208"/>
      <c r="V190" s="208"/>
      <c r="W190" s="208"/>
      <c r="X190" s="208"/>
    </row>
    <row r="191" spans="1:24" x14ac:dyDescent="0.3">
      <c r="A191" s="111" t="s">
        <v>861</v>
      </c>
      <c r="B191" s="111" t="s">
        <v>460</v>
      </c>
      <c r="C191" s="219">
        <v>0</v>
      </c>
      <c r="D191" s="209">
        <f>SUMIFS(gastos!Q:Q,gastos!M:M,ejec_ICPA!B191,gastos!P:P,ejec_ICPA!A191)</f>
        <v>0</v>
      </c>
      <c r="E191" s="209">
        <f>SUMIFS(gastos!R:R,gastos!M:M,ejec_ICPA!B191,gastos!P:P,ejec_ICPA!A191)</f>
        <v>490000000</v>
      </c>
      <c r="F191" s="209">
        <f>SUMIFS(gastos!S:S,gastos!M:M,ejec_ICPA!B191,gastos!P:P,ejec_ICPA!A191)</f>
        <v>0</v>
      </c>
      <c r="G191" s="209">
        <f>SUMIFS(gastos!T:T,gastos!M:M,ejec_ICPA!B191,gastos!P:P,ejec_ICPA!A191)</f>
        <v>0</v>
      </c>
      <c r="H191" s="209">
        <f>SUMIFS(gastos!U:U,gastos!M:M,ejec_ICPA!B191,gastos!P:P,ejec_ICPA!A191)</f>
        <v>490000000</v>
      </c>
      <c r="I191" s="209">
        <f t="shared" si="212"/>
        <v>0</v>
      </c>
      <c r="J191" s="209">
        <f>SUMIFS(gastos!W:W,gastos!M:M,ejec_ICPA!B191,gastos!P:P,ejec_ICPA!A191)</f>
        <v>0</v>
      </c>
      <c r="K191" s="209">
        <f>SUMIFS(gastos!X:X,gastos!$M:$M,ejec_ICPA!B191,gastos!$P:$P,ejec_ICPA!A191)</f>
        <v>0</v>
      </c>
      <c r="L191" s="209">
        <f>SUMIFS(gastos!$Z:$Z,gastos!$M:$M,ejec_ICPA!$B191,gastos!$P:$P,ejec_ICPA!$A191)</f>
        <v>0</v>
      </c>
      <c r="M191" s="209">
        <f>SUMIFS(gastos!$AE:$AE,gastos!$M:$M,ejec_ICPA!$B191,gastos!$P:$P,ejec_ICPA!$A191)</f>
        <v>0</v>
      </c>
      <c r="N191" s="209">
        <f>SUMIFS(gastos!AG:AG,gastos!$M:$M,ejec_ICPA!B191,gastos!$P:$P,ejec_ICPA!A191)</f>
        <v>0</v>
      </c>
      <c r="O191" s="209">
        <f>SUMIFS(gastos!AH:AH,gastos!$M:$M,ejec_ICPA!$B191,gastos!$P:$P,ejec_ICPA!$A191)</f>
        <v>0</v>
      </c>
      <c r="P191" s="209">
        <f>SUMIFS(gastos!$AF:$AF,gastos!$M:$M,ejec_ICPA!$B191,gastos!$P:$P,ejec_ICPA!$A191)</f>
        <v>0</v>
      </c>
      <c r="Q191" s="209">
        <f>SUMIFS(gastos!AJ:AJ,gastos!$M:$M,ejec_ICPA!$B191,gastos!$P:$P,ejec_ICPA!$A191)</f>
        <v>0</v>
      </c>
      <c r="R191" s="209">
        <f t="shared" si="213"/>
        <v>0</v>
      </c>
      <c r="S191" s="209">
        <f t="shared" si="214"/>
        <v>0</v>
      </c>
      <c r="T191" s="209">
        <f t="shared" si="215"/>
        <v>0</v>
      </c>
    </row>
    <row r="192" spans="1:24" x14ac:dyDescent="0.3">
      <c r="A192" s="111" t="s">
        <v>862</v>
      </c>
      <c r="B192" s="111" t="s">
        <v>833</v>
      </c>
      <c r="C192" s="219">
        <v>0</v>
      </c>
      <c r="D192" s="209">
        <f>SUMIFS(gastos!Q:Q,gastos!M:M,ejec_ICPA!B192,gastos!P:P,ejec_ICPA!A192)</f>
        <v>0</v>
      </c>
      <c r="E192" s="209">
        <f>SUMIFS(gastos!R:R,gastos!M:M,ejec_ICPA!B192,gastos!P:P,ejec_ICPA!A192)</f>
        <v>350000000</v>
      </c>
      <c r="F192" s="209">
        <f>SUMIFS(gastos!S:S,gastos!M:M,ejec_ICPA!B192,gastos!P:P,ejec_ICPA!A192)</f>
        <v>0</v>
      </c>
      <c r="G192" s="209">
        <f>SUMIFS(gastos!T:T,gastos!M:M,ejec_ICPA!B192,gastos!P:P,ejec_ICPA!A192)</f>
        <v>495000000</v>
      </c>
      <c r="H192" s="209">
        <f>SUMIFS(gastos!U:U,gastos!M:M,ejec_ICPA!B192,gastos!P:P,ejec_ICPA!A192)</f>
        <v>350000000</v>
      </c>
      <c r="I192" s="209">
        <f t="shared" si="212"/>
        <v>495000000</v>
      </c>
      <c r="J192" s="209">
        <f>SUMIFS(gastos!W:W,gastos!M:M,ejec_ICPA!B192,gastos!P:P,ejec_ICPA!A192)</f>
        <v>447528584</v>
      </c>
      <c r="K192" s="209">
        <f>SUMIFS(gastos!X:X,gastos!$M:$M,ejec_ICPA!B192,gastos!$P:$P,ejec_ICPA!A192)</f>
        <v>447528584</v>
      </c>
      <c r="L192" s="209">
        <f>SUMIFS(gastos!$Z:$Z,gastos!$M:$M,ejec_ICPA!$B192,gastos!$P:$P,ejec_ICPA!$A192)</f>
        <v>447528584</v>
      </c>
      <c r="M192" s="209">
        <f>SUMIFS(gastos!$AE:$AE,gastos!$M:$M,ejec_ICPA!$B192,gastos!$P:$P,ejec_ICPA!$A192)</f>
        <v>275946463</v>
      </c>
      <c r="N192" s="209">
        <f>SUMIFS(gastos!AG:AG,gastos!$M:$M,ejec_ICPA!B192,gastos!$P:$P,ejec_ICPA!A192)</f>
        <v>-2</v>
      </c>
      <c r="O192" s="209">
        <f>SUMIFS(gastos!AH:AH,gastos!$M:$M,ejec_ICPA!$B192,gastos!$P:$P,ejec_ICPA!$A192)</f>
        <v>0</v>
      </c>
      <c r="P192" s="209">
        <f>SUMIFS(gastos!$AF:$AF,gastos!$M:$M,ejec_ICPA!$B192,gastos!$P:$P,ejec_ICPA!$A192)</f>
        <v>447528584</v>
      </c>
      <c r="Q192" s="209">
        <f>SUMIFS(gastos!AJ:AJ,gastos!$M:$M,ejec_ICPA!$B192,gastos!$P:$P,ejec_ICPA!$A192)</f>
        <v>275946463</v>
      </c>
      <c r="R192" s="209">
        <f t="shared" si="213"/>
        <v>0</v>
      </c>
      <c r="S192" s="209">
        <f t="shared" si="214"/>
        <v>0</v>
      </c>
      <c r="T192" s="209">
        <f t="shared" si="215"/>
        <v>171582121</v>
      </c>
    </row>
    <row r="193" spans="1:24" s="105" customFormat="1" x14ac:dyDescent="0.3">
      <c r="A193" s="113" t="s">
        <v>713</v>
      </c>
      <c r="B193" s="217" t="s">
        <v>448</v>
      </c>
      <c r="C193" s="218">
        <f>SUM(C194)</f>
        <v>221062382</v>
      </c>
      <c r="D193" s="218">
        <f t="shared" ref="D193:T193" si="221">SUM(D194)</f>
        <v>221062382</v>
      </c>
      <c r="E193" s="218">
        <f t="shared" si="221"/>
        <v>0</v>
      </c>
      <c r="F193" s="218">
        <f t="shared" si="221"/>
        <v>0</v>
      </c>
      <c r="G193" s="218">
        <f t="shared" si="221"/>
        <v>0</v>
      </c>
      <c r="H193" s="218">
        <f t="shared" si="221"/>
        <v>5000000</v>
      </c>
      <c r="I193" s="218">
        <f t="shared" si="221"/>
        <v>216062382</v>
      </c>
      <c r="J193" s="218">
        <f t="shared" si="221"/>
        <v>215982196</v>
      </c>
      <c r="K193" s="218">
        <f t="shared" si="221"/>
        <v>215982196</v>
      </c>
      <c r="L193" s="218">
        <f t="shared" si="221"/>
        <v>215982196</v>
      </c>
      <c r="M193" s="218">
        <f t="shared" si="221"/>
        <v>107991098</v>
      </c>
      <c r="N193" s="218">
        <f t="shared" si="221"/>
        <v>-3</v>
      </c>
      <c r="O193" s="218">
        <f t="shared" si="221"/>
        <v>0</v>
      </c>
      <c r="P193" s="218">
        <f t="shared" si="221"/>
        <v>107991098</v>
      </c>
      <c r="Q193" s="218">
        <f t="shared" si="221"/>
        <v>0</v>
      </c>
      <c r="R193" s="218">
        <f t="shared" si="221"/>
        <v>0</v>
      </c>
      <c r="S193" s="218">
        <f t="shared" si="221"/>
        <v>0</v>
      </c>
      <c r="T193" s="218">
        <f t="shared" si="221"/>
        <v>107991098</v>
      </c>
      <c r="U193" s="208"/>
      <c r="V193" s="208"/>
      <c r="W193" s="208"/>
      <c r="X193" s="208"/>
    </row>
    <row r="194" spans="1:24" x14ac:dyDescent="0.3">
      <c r="A194" s="111" t="s">
        <v>450</v>
      </c>
      <c r="B194" s="85" t="s">
        <v>449</v>
      </c>
      <c r="C194" s="219">
        <v>221062382</v>
      </c>
      <c r="D194" s="209">
        <f>SUMIFS(gastos!Q:Q,gastos!M:M,ejec_ICPA!B194,gastos!P:P,ejec_ICPA!A194)</f>
        <v>221062382</v>
      </c>
      <c r="E194" s="209">
        <f>SUMIFS(gastos!R:R,gastos!M:M,ejec_ICPA!B194,gastos!P:P,ejec_ICPA!A194)</f>
        <v>0</v>
      </c>
      <c r="F194" s="209">
        <f>SUMIFS(gastos!S:S,gastos!M:M,ejec_ICPA!B194,gastos!P:P,ejec_ICPA!A194)</f>
        <v>0</v>
      </c>
      <c r="G194" s="209">
        <f>SUMIFS(gastos!T:T,gastos!M:M,ejec_ICPA!B194,gastos!P:P,ejec_ICPA!A194)</f>
        <v>0</v>
      </c>
      <c r="H194" s="209">
        <f>SUMIFS(gastos!U:U,gastos!M:M,ejec_ICPA!B194,gastos!P:P,ejec_ICPA!A194)</f>
        <v>5000000</v>
      </c>
      <c r="I194" s="209">
        <f>D194+E194-F194+G194-H194</f>
        <v>216062382</v>
      </c>
      <c r="J194" s="209">
        <f>SUMIFS(gastos!W:W,gastos!M:M,ejec_ICPA!B194,gastos!P:P,ejec_ICPA!A194)</f>
        <v>215982196</v>
      </c>
      <c r="K194" s="209">
        <f>SUMIFS(gastos!X:X,gastos!$M:$M,ejec_ICPA!B194,gastos!$P:$P,ejec_ICPA!A194)</f>
        <v>215982196</v>
      </c>
      <c r="L194" s="209">
        <f>SUMIFS(gastos!$Z:$Z,gastos!$M:$M,ejec_ICPA!$B194,gastos!$P:$P,ejec_ICPA!$A194)</f>
        <v>215982196</v>
      </c>
      <c r="M194" s="209">
        <f>SUMIFS(gastos!$AE:$AE,gastos!$M:$M,ejec_ICPA!$B194,gastos!$P:$P,ejec_ICPA!$A194)</f>
        <v>107991098</v>
      </c>
      <c r="N194" s="209">
        <f>SUMIFS(gastos!AG:AG,gastos!$M:$M,ejec_ICPA!B194,gastos!$P:$P,ejec_ICPA!A194)</f>
        <v>-3</v>
      </c>
      <c r="O194" s="209">
        <f>SUMIFS(gastos!AH:AH,gastos!$M:$M,ejec_ICPA!$B194,gastos!$P:$P,ejec_ICPA!$A194)</f>
        <v>0</v>
      </c>
      <c r="P194" s="209">
        <f>SUMIFS(gastos!$AF:$AF,gastos!$M:$M,ejec_ICPA!$B194,gastos!$P:$P,ejec_ICPA!$A194)</f>
        <v>107991098</v>
      </c>
      <c r="Q194" s="209">
        <f>SUMIFS(gastos!AJ:AJ,gastos!$M:$M,ejec_ICPA!$B194,gastos!$P:$P,ejec_ICPA!$A194)</f>
        <v>0</v>
      </c>
      <c r="R194" s="209">
        <f>K194-L194</f>
        <v>0</v>
      </c>
      <c r="S194" s="209">
        <f>L194-J194</f>
        <v>0</v>
      </c>
      <c r="T194" s="209">
        <f>J194-M194</f>
        <v>107991098</v>
      </c>
    </row>
    <row r="195" spans="1:24" s="105" customFormat="1" x14ac:dyDescent="0.3">
      <c r="A195" s="113" t="s">
        <v>714</v>
      </c>
      <c r="B195" s="217" t="s">
        <v>499</v>
      </c>
      <c r="C195" s="218">
        <f>SUM(C196:C202)</f>
        <v>443875471</v>
      </c>
      <c r="D195" s="218">
        <f t="shared" ref="D195:T195" si="222">SUM(D196:D202)</f>
        <v>443875471</v>
      </c>
      <c r="E195" s="218">
        <f t="shared" si="222"/>
        <v>190000000</v>
      </c>
      <c r="F195" s="218">
        <f t="shared" si="222"/>
        <v>0</v>
      </c>
      <c r="G195" s="218">
        <f t="shared" si="222"/>
        <v>350000000</v>
      </c>
      <c r="H195" s="218">
        <f t="shared" si="222"/>
        <v>0</v>
      </c>
      <c r="I195" s="218">
        <f t="shared" si="222"/>
        <v>983875471</v>
      </c>
      <c r="J195" s="218">
        <f t="shared" si="222"/>
        <v>591991556</v>
      </c>
      <c r="K195" s="218">
        <f t="shared" si="222"/>
        <v>591991556</v>
      </c>
      <c r="L195" s="218">
        <f t="shared" si="222"/>
        <v>591991556</v>
      </c>
      <c r="M195" s="218">
        <f t="shared" si="222"/>
        <v>336362720</v>
      </c>
      <c r="N195" s="218">
        <f t="shared" si="222"/>
        <v>-51809386</v>
      </c>
      <c r="O195" s="218">
        <f t="shared" si="222"/>
        <v>0</v>
      </c>
      <c r="P195" s="218">
        <f t="shared" si="222"/>
        <v>315628836</v>
      </c>
      <c r="Q195" s="218">
        <f t="shared" si="222"/>
        <v>60000000</v>
      </c>
      <c r="R195" s="218">
        <f t="shared" si="222"/>
        <v>0</v>
      </c>
      <c r="S195" s="218">
        <f t="shared" si="222"/>
        <v>0</v>
      </c>
      <c r="T195" s="218">
        <f t="shared" si="222"/>
        <v>255628836</v>
      </c>
      <c r="U195" s="208"/>
      <c r="V195" s="208"/>
      <c r="W195" s="208"/>
      <c r="X195" s="208"/>
    </row>
    <row r="196" spans="1:24" s="105" customFormat="1" x14ac:dyDescent="0.3">
      <c r="A196" s="111" t="s">
        <v>972</v>
      </c>
      <c r="B196" s="85" t="s">
        <v>518</v>
      </c>
      <c r="C196" s="219">
        <v>0</v>
      </c>
      <c r="D196" s="209">
        <f>SUMIFS(gastos!Q:Q,gastos!M:M,ejec_ICPA!B196,gastos!P:P,ejec_ICPA!A196)</f>
        <v>0</v>
      </c>
      <c r="E196" s="209">
        <f>SUMIFS(gastos!R:R,gastos!M:M,ejec_ICPA!B196,gastos!P:P,ejec_ICPA!A196)</f>
        <v>50000000</v>
      </c>
      <c r="F196" s="209">
        <f>SUMIFS(gastos!S:S,gastos!M:M,ejec_ICPA!B196,gastos!P:P,ejec_ICPA!A196)</f>
        <v>0</v>
      </c>
      <c r="G196" s="209">
        <f>SUMIFS(gastos!T:T,gastos!M:M,ejec_ICPA!B196,gastos!P:P,ejec_ICPA!A196)</f>
        <v>0</v>
      </c>
      <c r="H196" s="209">
        <f>SUMIFS(gastos!U:U,gastos!M:M,ejec_ICPA!B196,gastos!P:P,ejec_ICPA!A196)</f>
        <v>0</v>
      </c>
      <c r="I196" s="209">
        <f t="shared" ref="I196" si="223">D196+E196-F196+G196-H196</f>
        <v>50000000</v>
      </c>
      <c r="J196" s="209">
        <f>SUMIFS(gastos!W:W,gastos!M:M,ejec_ICPA!B196,gastos!P:P,ejec_ICPA!A196)</f>
        <v>50000000</v>
      </c>
      <c r="K196" s="209">
        <f>SUMIFS(gastos!X:X,gastos!$M:$M,ejec_ICPA!B196,gastos!$P:$P,ejec_ICPA!A196)</f>
        <v>50000000</v>
      </c>
      <c r="L196" s="209">
        <f>SUMIFS(gastos!$Z:$Z,gastos!$M:$M,ejec_ICPA!$B196,gastos!$P:$P,ejec_ICPA!$A196)</f>
        <v>50000000</v>
      </c>
      <c r="M196" s="209">
        <f>SUMIFS(gastos!$AE:$AE,gastos!$M:$M,ejec_ICPA!$B196,gastos!$P:$P,ejec_ICPA!$A196)</f>
        <v>50000000</v>
      </c>
      <c r="N196" s="209">
        <f>SUMIFS(gastos!AG:AG,gastos!$M:$M,ejec_ICPA!B196,gastos!$P:$P,ejec_ICPA!A196)</f>
        <v>0</v>
      </c>
      <c r="O196" s="209">
        <f>SUMIFS(gastos!AH:AH,gastos!$M:$M,ejec_ICPA!$B196,gastos!$P:$P,ejec_ICPA!$A196)</f>
        <v>0</v>
      </c>
      <c r="P196" s="209">
        <f>SUMIFS(gastos!$AF:$AF,gastos!$M:$M,ejec_ICPA!$B196,gastos!$P:$P,ejec_ICPA!$A196)</f>
        <v>50000000</v>
      </c>
      <c r="Q196" s="209">
        <f>SUMIFS(gastos!AJ:AJ,gastos!$M:$M,ejec_ICPA!$B196,gastos!$P:$P,ejec_ICPA!$A196)</f>
        <v>50000000</v>
      </c>
      <c r="R196" s="209">
        <f t="shared" ref="R196" si="224">K196-L196</f>
        <v>0</v>
      </c>
      <c r="S196" s="209">
        <f t="shared" ref="S196" si="225">L196-J196</f>
        <v>0</v>
      </c>
      <c r="T196" s="209">
        <f t="shared" ref="T196" si="226">J196-M196</f>
        <v>0</v>
      </c>
      <c r="U196" s="208"/>
      <c r="V196" s="208"/>
      <c r="W196" s="208"/>
      <c r="X196" s="208"/>
    </row>
    <row r="197" spans="1:24" x14ac:dyDescent="0.3">
      <c r="A197" s="111" t="s">
        <v>501</v>
      </c>
      <c r="B197" s="220" t="s">
        <v>500</v>
      </c>
      <c r="C197" s="219">
        <f>200000000+59850942</f>
        <v>259850942</v>
      </c>
      <c r="D197" s="209">
        <f>SUMIFS(gastos!Q:Q,gastos!M:M,ejec_ICPA!B197,gastos!P:P,ejec_ICPA!A197)</f>
        <v>259850942</v>
      </c>
      <c r="E197" s="209">
        <f>SUMIFS(gastos!R:R,gastos!M:M,ejec_ICPA!B197,gastos!P:P,ejec_ICPA!A197)</f>
        <v>140000000</v>
      </c>
      <c r="F197" s="209">
        <f>SUMIFS(gastos!S:S,gastos!M:M,ejec_ICPA!B197,gastos!P:P,ejec_ICPA!A197)</f>
        <v>0</v>
      </c>
      <c r="G197" s="209">
        <f>SUMIFS(gastos!T:T,gastos!M:M,ejec_ICPA!B197,gastos!P:P,ejec_ICPA!A197)</f>
        <v>350000000</v>
      </c>
      <c r="H197" s="209">
        <f>SUMIFS(gastos!U:U,gastos!M:M,ejec_ICPA!B197,gastos!P:P,ejec_ICPA!A197)</f>
        <v>0</v>
      </c>
      <c r="I197" s="209">
        <f t="shared" ref="I197:I202" si="227">D197+E197-F197+G197-H197</f>
        <v>749850942</v>
      </c>
      <c r="J197" s="209">
        <f>SUMIFS(gastos!W:W,gastos!M:M,ejec_ICPA!B197,gastos!P:P,ejec_ICPA!A197)</f>
        <v>386101566</v>
      </c>
      <c r="K197" s="209">
        <f>SUMIFS(gastos!X:X,gastos!$M:$M,ejec_ICPA!B197,gastos!$P:$P,ejec_ICPA!A197)</f>
        <v>386101566</v>
      </c>
      <c r="L197" s="209">
        <f>SUMIFS(gastos!$Z:$Z,gastos!$M:$M,ejec_ICPA!$B197,gastos!$P:$P,ejec_ICPA!$A197)</f>
        <v>386101566</v>
      </c>
      <c r="M197" s="209">
        <f>SUMIFS(gastos!$AE:$AE,gastos!$M:$M,ejec_ICPA!$B197,gastos!$P:$P,ejec_ICPA!$A197)</f>
        <v>217202720</v>
      </c>
      <c r="N197" s="209">
        <f>SUMIFS(gastos!AG:AG,gastos!$M:$M,ejec_ICPA!B197,gastos!$P:$P,ejec_ICPA!A197)</f>
        <v>-23749376</v>
      </c>
      <c r="O197" s="209">
        <f>SUMIFS(gastos!AH:AH,gastos!$M:$M,ejec_ICPA!$B197,gastos!$P:$P,ejec_ICPA!$A197)</f>
        <v>0</v>
      </c>
      <c r="P197" s="209">
        <f>SUMIFS(gastos!$AF:$AF,gastos!$M:$M,ejec_ICPA!$B197,gastos!$P:$P,ejec_ICPA!$A197)</f>
        <v>178898846</v>
      </c>
      <c r="Q197" s="209">
        <f>SUMIFS(gastos!AJ:AJ,gastos!$M:$M,ejec_ICPA!$B197,gastos!$P:$P,ejec_ICPA!$A197)</f>
        <v>10000000</v>
      </c>
      <c r="R197" s="209">
        <f t="shared" ref="R197:R202" si="228">K197-L197</f>
        <v>0</v>
      </c>
      <c r="S197" s="209">
        <f t="shared" ref="S197:S202" si="229">L197-J197</f>
        <v>0</v>
      </c>
      <c r="T197" s="209">
        <f t="shared" ref="T197:T202" si="230">J197-M197</f>
        <v>168898846</v>
      </c>
    </row>
    <row r="198" spans="1:24" x14ac:dyDescent="0.3">
      <c r="A198" s="111" t="s">
        <v>504</v>
      </c>
      <c r="B198" s="220" t="s">
        <v>503</v>
      </c>
      <c r="C198" s="215">
        <v>8950000</v>
      </c>
      <c r="D198" s="209">
        <f>SUMIFS(gastos!Q:Q,gastos!M:M,ejec_ICPA!B198,gastos!P:P,ejec_ICPA!A198)</f>
        <v>8950000</v>
      </c>
      <c r="E198" s="209">
        <f>SUMIFS(gastos!R:R,gastos!M:M,ejec_ICPA!B198,gastos!P:P,ejec_ICPA!A198)</f>
        <v>0</v>
      </c>
      <c r="F198" s="209">
        <f>SUMIFS(gastos!S:S,gastos!M:M,ejec_ICPA!B198,gastos!P:P,ejec_ICPA!A198)</f>
        <v>0</v>
      </c>
      <c r="G198" s="209">
        <f>SUMIFS(gastos!T:T,gastos!M:M,ejec_ICPA!B198,gastos!P:P,ejec_ICPA!A198)</f>
        <v>0</v>
      </c>
      <c r="H198" s="209">
        <f>SUMIFS(gastos!U:U,gastos!M:M,ejec_ICPA!B198,gastos!P:P,ejec_ICPA!A198)</f>
        <v>0</v>
      </c>
      <c r="I198" s="209">
        <f t="shared" si="227"/>
        <v>8950000</v>
      </c>
      <c r="J198" s="209">
        <f>SUMIFS(gastos!W:W,gastos!M:M,ejec_ICPA!B198,gastos!P:P,ejec_ICPA!A198)</f>
        <v>8950000</v>
      </c>
      <c r="K198" s="209">
        <f>SUMIFS(gastos!X:X,gastos!$M:$M,ejec_ICPA!B198,gastos!$P:$P,ejec_ICPA!A198)</f>
        <v>8950000</v>
      </c>
      <c r="L198" s="209">
        <f>SUMIFS(gastos!$Z:$Z,gastos!$M:$M,ejec_ICPA!$B198,gastos!$P:$P,ejec_ICPA!$A198)</f>
        <v>8950000</v>
      </c>
      <c r="M198" s="209">
        <f>SUMIFS(gastos!$AE:$AE,gastos!$M:$M,ejec_ICPA!$B198,gastos!$P:$P,ejec_ICPA!$A198)</f>
        <v>7160000</v>
      </c>
      <c r="N198" s="209">
        <f>SUMIFS(gastos!AG:AG,gastos!$M:$M,ejec_ICPA!B198,gastos!$P:$P,ejec_ICPA!A198)</f>
        <v>0</v>
      </c>
      <c r="O198" s="209">
        <f>SUMIFS(gastos!AH:AH,gastos!$M:$M,ejec_ICPA!$B198,gastos!$P:$P,ejec_ICPA!$A198)</f>
        <v>0</v>
      </c>
      <c r="P198" s="209">
        <f>SUMIFS(gastos!$AF:$AF,gastos!$M:$M,ejec_ICPA!$B198,gastos!$P:$P,ejec_ICPA!$A198)</f>
        <v>1790000</v>
      </c>
      <c r="Q198" s="209">
        <f>SUMIFS(gastos!AJ:AJ,gastos!$M:$M,ejec_ICPA!$B198,gastos!$P:$P,ejec_ICPA!$A198)</f>
        <v>0</v>
      </c>
      <c r="R198" s="209">
        <f t="shared" si="228"/>
        <v>0</v>
      </c>
      <c r="S198" s="209">
        <f t="shared" si="229"/>
        <v>0</v>
      </c>
      <c r="T198" s="209">
        <f t="shared" si="230"/>
        <v>1790000</v>
      </c>
    </row>
    <row r="199" spans="1:24" x14ac:dyDescent="0.3">
      <c r="A199" s="111" t="s">
        <v>507</v>
      </c>
      <c r="B199" s="220" t="s">
        <v>506</v>
      </c>
      <c r="C199" s="219">
        <v>35000000</v>
      </c>
      <c r="D199" s="209">
        <f>SUMIFS(gastos!Q:Q,gastos!M:M,ejec_ICPA!B199,gastos!P:P,ejec_ICPA!A199)</f>
        <v>35000000</v>
      </c>
      <c r="E199" s="209">
        <f>SUMIFS(gastos!R:R,gastos!M:M,ejec_ICPA!B199,gastos!P:P,ejec_ICPA!A199)</f>
        <v>0</v>
      </c>
      <c r="F199" s="209">
        <f>SUMIFS(gastos!S:S,gastos!M:M,ejec_ICPA!B199,gastos!P:P,ejec_ICPA!A199)</f>
        <v>0</v>
      </c>
      <c r="G199" s="209">
        <f>SUMIFS(gastos!T:T,gastos!M:M,ejec_ICPA!B199,gastos!P:P,ejec_ICPA!A199)</f>
        <v>0</v>
      </c>
      <c r="H199" s="209">
        <f>SUMIFS(gastos!U:U,gastos!M:M,ejec_ICPA!B199,gastos!P:P,ejec_ICPA!A199)</f>
        <v>0</v>
      </c>
      <c r="I199" s="209">
        <f t="shared" si="227"/>
        <v>35000000</v>
      </c>
      <c r="J199" s="209">
        <f>SUMIFS(gastos!W:W,gastos!M:M,ejec_ICPA!B199,gastos!P:P,ejec_ICPA!A199)</f>
        <v>35000000</v>
      </c>
      <c r="K199" s="209">
        <f>SUMIFS(gastos!X:X,gastos!$M:$M,ejec_ICPA!B199,gastos!$P:$P,ejec_ICPA!A199)</f>
        <v>35000000</v>
      </c>
      <c r="L199" s="209">
        <f>SUMIFS(gastos!$Z:$Z,gastos!$M:$M,ejec_ICPA!$B199,gastos!$P:$P,ejec_ICPA!$A199)</f>
        <v>35000000</v>
      </c>
      <c r="M199" s="209">
        <f>SUMIFS(gastos!$AE:$AE,gastos!$M:$M,ejec_ICPA!$B199,gastos!$P:$P,ejec_ICPA!$A199)</f>
        <v>28000000</v>
      </c>
      <c r="N199" s="209">
        <f>SUMIFS(gastos!AG:AG,gastos!$M:$M,ejec_ICPA!B199,gastos!$P:$P,ejec_ICPA!A199)</f>
        <v>0</v>
      </c>
      <c r="O199" s="209">
        <f>SUMIFS(gastos!AH:AH,gastos!$M:$M,ejec_ICPA!$B199,gastos!$P:$P,ejec_ICPA!$A199)</f>
        <v>0</v>
      </c>
      <c r="P199" s="209">
        <f>SUMIFS(gastos!$AF:$AF,gastos!$M:$M,ejec_ICPA!$B199,gastos!$P:$P,ejec_ICPA!$A199)</f>
        <v>7000000</v>
      </c>
      <c r="Q199" s="209">
        <f>SUMIFS(gastos!AJ:AJ,gastos!$M:$M,ejec_ICPA!$B199,gastos!$P:$P,ejec_ICPA!$A199)</f>
        <v>0</v>
      </c>
      <c r="R199" s="209">
        <f t="shared" si="228"/>
        <v>0</v>
      </c>
      <c r="S199" s="209">
        <f t="shared" si="229"/>
        <v>0</v>
      </c>
      <c r="T199" s="209">
        <f t="shared" si="230"/>
        <v>7000000</v>
      </c>
    </row>
    <row r="200" spans="1:24" x14ac:dyDescent="0.3">
      <c r="A200" s="111" t="s">
        <v>510</v>
      </c>
      <c r="B200" s="220" t="s">
        <v>509</v>
      </c>
      <c r="C200" s="219">
        <f>135000000-29925471</f>
        <v>105074529</v>
      </c>
      <c r="D200" s="209">
        <f>SUMIFS(gastos!Q:Q,gastos!M:M,ejec_ICPA!B200,gastos!P:P,ejec_ICPA!A200)</f>
        <v>105074529</v>
      </c>
      <c r="E200" s="209">
        <f>SUMIFS(gastos!R:R,gastos!M:M,ejec_ICPA!B200,gastos!P:P,ejec_ICPA!A200)</f>
        <v>0</v>
      </c>
      <c r="F200" s="209">
        <f>SUMIFS(gastos!S:S,gastos!M:M,ejec_ICPA!B200,gastos!P:P,ejec_ICPA!A200)</f>
        <v>0</v>
      </c>
      <c r="G200" s="209">
        <f>SUMIFS(gastos!T:T,gastos!M:M,ejec_ICPA!B200,gastos!P:P,ejec_ICPA!A200)</f>
        <v>0</v>
      </c>
      <c r="H200" s="209">
        <f>SUMIFS(gastos!U:U,gastos!M:M,ejec_ICPA!B200,gastos!P:P,ejec_ICPA!A200)</f>
        <v>0</v>
      </c>
      <c r="I200" s="209">
        <f t="shared" si="227"/>
        <v>105074529</v>
      </c>
      <c r="J200" s="209">
        <f>SUMIFS(gastos!W:W,gastos!M:M,ejec_ICPA!B200,gastos!P:P,ejec_ICPA!A200)</f>
        <v>76939990</v>
      </c>
      <c r="K200" s="209">
        <f>SUMIFS(gastos!X:X,gastos!$M:$M,ejec_ICPA!B200,gastos!$P:$P,ejec_ICPA!A200)</f>
        <v>76939990</v>
      </c>
      <c r="L200" s="209">
        <f>SUMIFS(gastos!$Z:$Z,gastos!$M:$M,ejec_ICPA!$B200,gastos!$P:$P,ejec_ICPA!$A200)</f>
        <v>76939990</v>
      </c>
      <c r="M200" s="209">
        <f>SUMIFS(gastos!$AE:$AE,gastos!$M:$M,ejec_ICPA!$B200,gastos!$P:$P,ejec_ICPA!$A200)</f>
        <v>6000000</v>
      </c>
      <c r="N200" s="209">
        <f>SUMIFS(gastos!AG:AG,gastos!$M:$M,ejec_ICPA!B200,gastos!$P:$P,ejec_ICPA!A200)</f>
        <v>-28060010</v>
      </c>
      <c r="O200" s="209">
        <f>SUMIFS(gastos!AH:AH,gastos!$M:$M,ejec_ICPA!$B200,gastos!$P:$P,ejec_ICPA!$A200)</f>
        <v>0</v>
      </c>
      <c r="P200" s="209">
        <f>SUMIFS(gastos!$AF:$AF,gastos!$M:$M,ejec_ICPA!$B200,gastos!$P:$P,ejec_ICPA!$A200)</f>
        <v>70939990</v>
      </c>
      <c r="Q200" s="209">
        <f>SUMIFS(gastos!AJ:AJ,gastos!$M:$M,ejec_ICPA!$B200,gastos!$P:$P,ejec_ICPA!$A200)</f>
        <v>0</v>
      </c>
      <c r="R200" s="209">
        <f t="shared" si="228"/>
        <v>0</v>
      </c>
      <c r="S200" s="209">
        <f t="shared" si="229"/>
        <v>0</v>
      </c>
      <c r="T200" s="209">
        <f t="shared" si="230"/>
        <v>70939990</v>
      </c>
    </row>
    <row r="201" spans="1:24" x14ac:dyDescent="0.3">
      <c r="A201" s="111" t="s">
        <v>513</v>
      </c>
      <c r="B201" s="220" t="s">
        <v>512</v>
      </c>
      <c r="C201" s="219">
        <v>25000000</v>
      </c>
      <c r="D201" s="209">
        <f>SUMIFS(gastos!Q:Q,gastos!M:M,ejec_ICPA!B201,gastos!P:P,ejec_ICPA!A201)</f>
        <v>25000000</v>
      </c>
      <c r="E201" s="209">
        <f>SUMIFS(gastos!R:R,gastos!M:M,ejec_ICPA!B201,gastos!P:P,ejec_ICPA!A201)</f>
        <v>0</v>
      </c>
      <c r="F201" s="209">
        <f>SUMIFS(gastos!S:S,gastos!M:M,ejec_ICPA!B201,gastos!P:P,ejec_ICPA!A201)</f>
        <v>0</v>
      </c>
      <c r="G201" s="209">
        <f>SUMIFS(gastos!T:T,gastos!M:M,ejec_ICPA!B201,gastos!P:P,ejec_ICPA!A201)</f>
        <v>0</v>
      </c>
      <c r="H201" s="209">
        <f>SUMIFS(gastos!U:U,gastos!M:M,ejec_ICPA!B201,gastos!P:P,ejec_ICPA!A201)</f>
        <v>0</v>
      </c>
      <c r="I201" s="209">
        <f t="shared" si="227"/>
        <v>25000000</v>
      </c>
      <c r="J201" s="209">
        <f>SUMIFS(gastos!W:W,gastos!M:M,ejec_ICPA!B201,gastos!P:P,ejec_ICPA!A201)</f>
        <v>25000000</v>
      </c>
      <c r="K201" s="209">
        <f>SUMIFS(gastos!X:X,gastos!$M:$M,ejec_ICPA!B201,gastos!$P:$P,ejec_ICPA!A201)</f>
        <v>25000000</v>
      </c>
      <c r="L201" s="209">
        <f>SUMIFS(gastos!$Z:$Z,gastos!$M:$M,ejec_ICPA!$B201,gastos!$P:$P,ejec_ICPA!$A201)</f>
        <v>25000000</v>
      </c>
      <c r="M201" s="209">
        <f>SUMIFS(gastos!$AE:$AE,gastos!$M:$M,ejec_ICPA!$B201,gastos!$P:$P,ejec_ICPA!$A201)</f>
        <v>20000000</v>
      </c>
      <c r="N201" s="209">
        <f>SUMIFS(gastos!AG:AG,gastos!$M:$M,ejec_ICPA!B201,gastos!$P:$P,ejec_ICPA!A201)</f>
        <v>0</v>
      </c>
      <c r="O201" s="209">
        <f>SUMIFS(gastos!AH:AH,gastos!$M:$M,ejec_ICPA!$B201,gastos!$P:$P,ejec_ICPA!$A201)</f>
        <v>0</v>
      </c>
      <c r="P201" s="209">
        <f>SUMIFS(gastos!$AF:$AF,gastos!$M:$M,ejec_ICPA!$B201,gastos!$P:$P,ejec_ICPA!$A201)</f>
        <v>5000000</v>
      </c>
      <c r="Q201" s="209">
        <f>SUMIFS(gastos!AJ:AJ,gastos!$M:$M,ejec_ICPA!$B201,gastos!$P:$P,ejec_ICPA!$A201)</f>
        <v>0</v>
      </c>
      <c r="R201" s="209">
        <f t="shared" si="228"/>
        <v>0</v>
      </c>
      <c r="S201" s="209">
        <f t="shared" si="229"/>
        <v>0</v>
      </c>
      <c r="T201" s="209">
        <f t="shared" si="230"/>
        <v>5000000</v>
      </c>
    </row>
    <row r="202" spans="1:24" x14ac:dyDescent="0.3">
      <c r="A202" s="111" t="s">
        <v>516</v>
      </c>
      <c r="B202" s="220" t="s">
        <v>515</v>
      </c>
      <c r="C202" s="219">
        <v>10000000</v>
      </c>
      <c r="D202" s="209">
        <f>SUMIFS(gastos!Q:Q,gastos!M:M,ejec_ICPA!B202,gastos!P:P,ejec_ICPA!A202)</f>
        <v>10000000</v>
      </c>
      <c r="E202" s="209">
        <f>SUMIFS(gastos!R:R,gastos!M:M,ejec_ICPA!B202,gastos!P:P,ejec_ICPA!A202)</f>
        <v>0</v>
      </c>
      <c r="F202" s="209">
        <f>SUMIFS(gastos!S:S,gastos!M:M,ejec_ICPA!B202,gastos!P:P,ejec_ICPA!A202)</f>
        <v>0</v>
      </c>
      <c r="G202" s="209">
        <f>SUMIFS(gastos!T:T,gastos!M:M,ejec_ICPA!B202,gastos!P:P,ejec_ICPA!A202)</f>
        <v>0</v>
      </c>
      <c r="H202" s="209">
        <f>SUMIFS(gastos!U:U,gastos!M:M,ejec_ICPA!B202,gastos!P:P,ejec_ICPA!A202)</f>
        <v>0</v>
      </c>
      <c r="I202" s="209">
        <f t="shared" si="227"/>
        <v>10000000</v>
      </c>
      <c r="J202" s="209">
        <f>SUMIFS(gastos!W:W,gastos!M:M,ejec_ICPA!B202,gastos!P:P,ejec_ICPA!A202)</f>
        <v>10000000</v>
      </c>
      <c r="K202" s="209">
        <f>SUMIFS(gastos!X:X,gastos!$M:$M,ejec_ICPA!B202,gastos!$P:$P,ejec_ICPA!A202)</f>
        <v>10000000</v>
      </c>
      <c r="L202" s="209">
        <f>SUMIFS(gastos!$Z:$Z,gastos!$M:$M,ejec_ICPA!$B202,gastos!$P:$P,ejec_ICPA!$A202)</f>
        <v>10000000</v>
      </c>
      <c r="M202" s="209">
        <f>SUMIFS(gastos!$AE:$AE,gastos!$M:$M,ejec_ICPA!$B202,gastos!$P:$P,ejec_ICPA!$A202)</f>
        <v>8000000</v>
      </c>
      <c r="N202" s="209">
        <f>SUMIFS(gastos!AG:AG,gastos!$M:$M,ejec_ICPA!B202,gastos!$P:$P,ejec_ICPA!A202)</f>
        <v>0</v>
      </c>
      <c r="O202" s="209">
        <f>SUMIFS(gastos!AH:AH,gastos!$M:$M,ejec_ICPA!$B202,gastos!$P:$P,ejec_ICPA!$A202)</f>
        <v>0</v>
      </c>
      <c r="P202" s="209">
        <f>SUMIFS(gastos!$AF:$AF,gastos!$M:$M,ejec_ICPA!$B202,gastos!$P:$P,ejec_ICPA!$A202)</f>
        <v>2000000</v>
      </c>
      <c r="Q202" s="209">
        <f>SUMIFS(gastos!AJ:AJ,gastos!$M:$M,ejec_ICPA!$B202,gastos!$P:$P,ejec_ICPA!$A202)</f>
        <v>0</v>
      </c>
      <c r="R202" s="209">
        <f t="shared" si="228"/>
        <v>0</v>
      </c>
      <c r="S202" s="209">
        <f t="shared" si="229"/>
        <v>0</v>
      </c>
      <c r="T202" s="209">
        <f t="shared" si="230"/>
        <v>2000000</v>
      </c>
    </row>
    <row r="203" spans="1:24" s="105" customFormat="1" x14ac:dyDescent="0.3">
      <c r="A203" s="113" t="s">
        <v>715</v>
      </c>
      <c r="B203" s="217" t="s">
        <v>499</v>
      </c>
      <c r="C203" s="218">
        <f>SUM(C204:C205)</f>
        <v>36050000</v>
      </c>
      <c r="D203" s="218">
        <f t="shared" ref="D203:T203" si="231">SUM(D204:D205)</f>
        <v>36050000</v>
      </c>
      <c r="E203" s="218">
        <f t="shared" si="231"/>
        <v>0</v>
      </c>
      <c r="F203" s="218">
        <f t="shared" si="231"/>
        <v>0</v>
      </c>
      <c r="G203" s="218">
        <f t="shared" si="231"/>
        <v>0</v>
      </c>
      <c r="H203" s="218">
        <f t="shared" si="231"/>
        <v>0</v>
      </c>
      <c r="I203" s="218">
        <f t="shared" si="231"/>
        <v>36050000</v>
      </c>
      <c r="J203" s="218">
        <f t="shared" si="231"/>
        <v>36050000</v>
      </c>
      <c r="K203" s="218">
        <f t="shared" si="231"/>
        <v>36050000</v>
      </c>
      <c r="L203" s="218">
        <f t="shared" si="231"/>
        <v>36050000</v>
      </c>
      <c r="M203" s="218">
        <f t="shared" si="231"/>
        <v>28840000</v>
      </c>
      <c r="N203" s="218">
        <f t="shared" si="231"/>
        <v>0</v>
      </c>
      <c r="O203" s="218">
        <f t="shared" si="231"/>
        <v>0</v>
      </c>
      <c r="P203" s="218">
        <f t="shared" si="231"/>
        <v>7210000</v>
      </c>
      <c r="Q203" s="218">
        <f t="shared" si="231"/>
        <v>0</v>
      </c>
      <c r="R203" s="218">
        <f t="shared" si="231"/>
        <v>0</v>
      </c>
      <c r="S203" s="218">
        <f t="shared" si="231"/>
        <v>0</v>
      </c>
      <c r="T203" s="218">
        <f t="shared" si="231"/>
        <v>7210000</v>
      </c>
      <c r="U203" s="208"/>
      <c r="V203" s="208"/>
      <c r="W203" s="208"/>
      <c r="X203" s="208"/>
    </row>
    <row r="204" spans="1:24" x14ac:dyDescent="0.3">
      <c r="A204" s="111" t="s">
        <v>519</v>
      </c>
      <c r="B204" s="220" t="s">
        <v>518</v>
      </c>
      <c r="C204" s="219">
        <v>20000000</v>
      </c>
      <c r="D204" s="209">
        <f>SUMIFS(gastos!Q:Q,gastos!M:M,ejec_ICPA!B204,gastos!P:P,ejec_ICPA!A204)</f>
        <v>20000000</v>
      </c>
      <c r="E204" s="209">
        <f>SUMIFS(gastos!R:R,gastos!M:M,ejec_ICPA!B204,gastos!P:P,ejec_ICPA!A204)</f>
        <v>0</v>
      </c>
      <c r="F204" s="209">
        <f>SUMIFS(gastos!S:S,gastos!M:M,ejec_ICPA!B204,gastos!P:P,ejec_ICPA!A204)</f>
        <v>0</v>
      </c>
      <c r="G204" s="209">
        <f>SUMIFS(gastos!T:T,gastos!M:M,ejec_ICPA!B204,gastos!P:P,ejec_ICPA!A204)</f>
        <v>0</v>
      </c>
      <c r="H204" s="209">
        <f>SUMIFS(gastos!U:U,gastos!M:M,ejec_ICPA!B204,gastos!P:P,ejec_ICPA!A204)</f>
        <v>0</v>
      </c>
      <c r="I204" s="209">
        <f t="shared" ref="I204:I205" si="232">D204+E204-F204+G204-H204</f>
        <v>20000000</v>
      </c>
      <c r="J204" s="209">
        <f>SUMIFS(gastos!W:W,gastos!M:M,ejec_ICPA!B204,gastos!P:P,ejec_ICPA!A204)</f>
        <v>20000000</v>
      </c>
      <c r="K204" s="209">
        <f>SUMIFS(gastos!X:X,gastos!$M:$M,ejec_ICPA!B204,gastos!$P:$P,ejec_ICPA!A204)</f>
        <v>20000000</v>
      </c>
      <c r="L204" s="209">
        <f>SUMIFS(gastos!$Z:$Z,gastos!$M:$M,ejec_ICPA!$B204,gastos!$P:$P,ejec_ICPA!$A204)</f>
        <v>20000000</v>
      </c>
      <c r="M204" s="209">
        <f>SUMIFS(gastos!$AE:$AE,gastos!$M:$M,ejec_ICPA!$B204,gastos!$P:$P,ejec_ICPA!$A204)</f>
        <v>16000000</v>
      </c>
      <c r="N204" s="209">
        <f>SUMIFS(gastos!AG:AG,gastos!$M:$M,ejec_ICPA!B204,gastos!$P:$P,ejec_ICPA!A204)</f>
        <v>0</v>
      </c>
      <c r="O204" s="209">
        <f>SUMIFS(gastos!AH:AH,gastos!$M:$M,ejec_ICPA!$B204,gastos!$P:$P,ejec_ICPA!$A204)</f>
        <v>0</v>
      </c>
      <c r="P204" s="209">
        <f>SUMIFS(gastos!$AF:$AF,gastos!$M:$M,ejec_ICPA!$B204,gastos!$P:$P,ejec_ICPA!$A204)</f>
        <v>4000000</v>
      </c>
      <c r="Q204" s="209">
        <f>SUMIFS(gastos!AJ:AJ,gastos!$M:$M,ejec_ICPA!$B204,gastos!$P:$P,ejec_ICPA!$A204)</f>
        <v>0</v>
      </c>
      <c r="R204" s="209">
        <f t="shared" ref="R204:R205" si="233">K204-L204</f>
        <v>0</v>
      </c>
      <c r="S204" s="209">
        <f t="shared" ref="S204:S205" si="234">L204-J204</f>
        <v>0</v>
      </c>
      <c r="T204" s="209">
        <f t="shared" ref="T204:T205" si="235">J204-M204</f>
        <v>4000000</v>
      </c>
    </row>
    <row r="205" spans="1:24" x14ac:dyDescent="0.3">
      <c r="A205" s="111" t="s">
        <v>520</v>
      </c>
      <c r="B205" s="220" t="s">
        <v>503</v>
      </c>
      <c r="C205" s="219">
        <v>16050000</v>
      </c>
      <c r="D205" s="209">
        <f>SUMIFS(gastos!Q:Q,gastos!M:M,ejec_ICPA!B205,gastos!P:P,ejec_ICPA!A205)</f>
        <v>16050000</v>
      </c>
      <c r="E205" s="209">
        <f>SUMIFS(gastos!R:R,gastos!M:M,ejec_ICPA!B205,gastos!P:P,ejec_ICPA!A205)</f>
        <v>0</v>
      </c>
      <c r="F205" s="209">
        <f>SUMIFS(gastos!S:S,gastos!M:M,ejec_ICPA!B205,gastos!P:P,ejec_ICPA!A205)</f>
        <v>0</v>
      </c>
      <c r="G205" s="209">
        <f>SUMIFS(gastos!T:T,gastos!M:M,ejec_ICPA!B205,gastos!P:P,ejec_ICPA!A205)</f>
        <v>0</v>
      </c>
      <c r="H205" s="209">
        <f>SUMIFS(gastos!U:U,gastos!M:M,ejec_ICPA!B205,gastos!P:P,ejec_ICPA!A205)</f>
        <v>0</v>
      </c>
      <c r="I205" s="209">
        <f t="shared" si="232"/>
        <v>16050000</v>
      </c>
      <c r="J205" s="209">
        <f>SUMIFS(gastos!W:W,gastos!M:M,ejec_ICPA!B205,gastos!P:P,ejec_ICPA!A205)</f>
        <v>16050000</v>
      </c>
      <c r="K205" s="209">
        <f>SUMIFS(gastos!X:X,gastos!$M:$M,ejec_ICPA!B205,gastos!$P:$P,ejec_ICPA!A205)</f>
        <v>16050000</v>
      </c>
      <c r="L205" s="209">
        <f>SUMIFS(gastos!$Z:$Z,gastos!$M:$M,ejec_ICPA!$B205,gastos!$P:$P,ejec_ICPA!$A205)</f>
        <v>16050000</v>
      </c>
      <c r="M205" s="209">
        <f>SUMIFS(gastos!$AE:$AE,gastos!$M:$M,ejec_ICPA!$B205,gastos!$P:$P,ejec_ICPA!$A205)</f>
        <v>12840000</v>
      </c>
      <c r="N205" s="209">
        <f>SUMIFS(gastos!AG:AG,gastos!$M:$M,ejec_ICPA!B205,gastos!$P:$P,ejec_ICPA!A205)</f>
        <v>0</v>
      </c>
      <c r="O205" s="209">
        <f>SUMIFS(gastos!AH:AH,gastos!$M:$M,ejec_ICPA!$B205,gastos!$P:$P,ejec_ICPA!$A205)</f>
        <v>0</v>
      </c>
      <c r="P205" s="209">
        <f>SUMIFS(gastos!$AF:$AF,gastos!$M:$M,ejec_ICPA!$B205,gastos!$P:$P,ejec_ICPA!$A205)</f>
        <v>3210000</v>
      </c>
      <c r="Q205" s="209">
        <f>SUMIFS(gastos!AJ:AJ,gastos!$M:$M,ejec_ICPA!$B205,gastos!$P:$P,ejec_ICPA!$A205)</f>
        <v>0</v>
      </c>
      <c r="R205" s="209">
        <f t="shared" si="233"/>
        <v>0</v>
      </c>
      <c r="S205" s="209">
        <f t="shared" si="234"/>
        <v>0</v>
      </c>
      <c r="T205" s="209">
        <f t="shared" si="235"/>
        <v>3210000</v>
      </c>
    </row>
    <row r="206" spans="1:24" s="105" customFormat="1" x14ac:dyDescent="0.3">
      <c r="A206" s="113" t="s">
        <v>716</v>
      </c>
      <c r="B206" s="217" t="s">
        <v>434</v>
      </c>
      <c r="C206" s="218">
        <f>SUM(C207:C207)</f>
        <v>850000000</v>
      </c>
      <c r="D206" s="218">
        <f t="shared" ref="D206:T206" si="236">SUM(D207:D207)</f>
        <v>850000000</v>
      </c>
      <c r="E206" s="218">
        <f t="shared" si="236"/>
        <v>0</v>
      </c>
      <c r="F206" s="218">
        <f t="shared" si="236"/>
        <v>0</v>
      </c>
      <c r="G206" s="218">
        <f t="shared" si="236"/>
        <v>0</v>
      </c>
      <c r="H206" s="218">
        <f t="shared" si="236"/>
        <v>0</v>
      </c>
      <c r="I206" s="218">
        <f t="shared" si="236"/>
        <v>850000000</v>
      </c>
      <c r="J206" s="218">
        <f t="shared" si="236"/>
        <v>850000000</v>
      </c>
      <c r="K206" s="218">
        <f t="shared" si="236"/>
        <v>850000000</v>
      </c>
      <c r="L206" s="218">
        <f t="shared" si="236"/>
        <v>850000000</v>
      </c>
      <c r="M206" s="218">
        <f t="shared" si="236"/>
        <v>850000000</v>
      </c>
      <c r="N206" s="218">
        <f t="shared" si="236"/>
        <v>0</v>
      </c>
      <c r="O206" s="218">
        <f t="shared" si="236"/>
        <v>0</v>
      </c>
      <c r="P206" s="218">
        <f t="shared" si="236"/>
        <v>722980000</v>
      </c>
      <c r="Q206" s="218">
        <f t="shared" si="236"/>
        <v>722980000</v>
      </c>
      <c r="R206" s="218">
        <f t="shared" si="236"/>
        <v>0</v>
      </c>
      <c r="S206" s="218">
        <f t="shared" si="236"/>
        <v>0</v>
      </c>
      <c r="T206" s="218">
        <f t="shared" si="236"/>
        <v>0</v>
      </c>
      <c r="U206" s="208"/>
      <c r="V206" s="208"/>
      <c r="W206" s="208"/>
      <c r="X206" s="208"/>
    </row>
    <row r="207" spans="1:24" x14ac:dyDescent="0.3">
      <c r="A207" s="111" t="s">
        <v>441</v>
      </c>
      <c r="B207" s="222" t="s">
        <v>440</v>
      </c>
      <c r="C207" s="219">
        <v>850000000</v>
      </c>
      <c r="D207" s="209">
        <f>SUMIFS(gastos!Q:Q,gastos!M:M,ejec_ICPA!B207,gastos!P:P,ejec_ICPA!A207)</f>
        <v>850000000</v>
      </c>
      <c r="E207" s="209">
        <f>SUMIFS(gastos!R:R,gastos!M:M,ejec_ICPA!B207,gastos!P:P,ejec_ICPA!A207)</f>
        <v>0</v>
      </c>
      <c r="F207" s="209">
        <f>SUMIFS(gastos!S:S,gastos!M:M,ejec_ICPA!B207,gastos!P:P,ejec_ICPA!A207)</f>
        <v>0</v>
      </c>
      <c r="G207" s="209">
        <f>SUMIFS(gastos!T:T,gastos!M:M,ejec_ICPA!B207,gastos!P:P,ejec_ICPA!A207)</f>
        <v>0</v>
      </c>
      <c r="H207" s="209">
        <f>SUMIFS(gastos!U:U,gastos!M:M,ejec_ICPA!B207,gastos!P:P,ejec_ICPA!A207)</f>
        <v>0</v>
      </c>
      <c r="I207" s="209">
        <f>D207+E207-F207+G207-H207</f>
        <v>850000000</v>
      </c>
      <c r="J207" s="209">
        <f>SUMIFS(gastos!W:W,gastos!M:M,ejec_ICPA!B207,gastos!P:P,ejec_ICPA!A207)</f>
        <v>850000000</v>
      </c>
      <c r="K207" s="209">
        <f>SUMIFS(gastos!X:X,gastos!$M:$M,ejec_ICPA!B207,gastos!$P:$P,ejec_ICPA!A207)</f>
        <v>850000000</v>
      </c>
      <c r="L207" s="209">
        <f>SUMIFS(gastos!$Z:$Z,gastos!$M:$M,ejec_ICPA!$B207,gastos!$P:$P,ejec_ICPA!$A207)</f>
        <v>850000000</v>
      </c>
      <c r="M207" s="209">
        <f>SUMIFS(gastos!$AE:$AE,gastos!$M:$M,ejec_ICPA!$B207,gastos!$P:$P,ejec_ICPA!$A207)</f>
        <v>850000000</v>
      </c>
      <c r="N207" s="209">
        <f>SUMIFS(gastos!AG:AG,gastos!$M:$M,ejec_ICPA!B207,gastos!$P:$P,ejec_ICPA!A207)</f>
        <v>0</v>
      </c>
      <c r="O207" s="209">
        <f>SUMIFS(gastos!AH:AH,gastos!$M:$M,ejec_ICPA!$B207,gastos!$P:$P,ejec_ICPA!$A207)</f>
        <v>0</v>
      </c>
      <c r="P207" s="209">
        <f>SUMIFS(gastos!$AF:$AF,gastos!$M:$M,ejec_ICPA!$B207,gastos!$P:$P,ejec_ICPA!$A207)</f>
        <v>722980000</v>
      </c>
      <c r="Q207" s="209">
        <f>SUMIFS(gastos!AJ:AJ,gastos!$M:$M,ejec_ICPA!$B207,gastos!$P:$P,ejec_ICPA!$A207)</f>
        <v>722980000</v>
      </c>
      <c r="R207" s="209">
        <f>K207-L207</f>
        <v>0</v>
      </c>
      <c r="S207" s="209">
        <f>L207-J207</f>
        <v>0</v>
      </c>
      <c r="T207" s="209">
        <f>J207-M207</f>
        <v>0</v>
      </c>
    </row>
    <row r="208" spans="1:24" s="105" customFormat="1" x14ac:dyDescent="0.3">
      <c r="A208" s="113" t="s">
        <v>894</v>
      </c>
      <c r="B208" s="217" t="s">
        <v>434</v>
      </c>
      <c r="C208" s="218">
        <f>SUM(C209)</f>
        <v>0</v>
      </c>
      <c r="D208" s="218">
        <f t="shared" ref="D208:T208" si="237">SUM(D209)</f>
        <v>0</v>
      </c>
      <c r="E208" s="218">
        <f t="shared" si="237"/>
        <v>2465000000</v>
      </c>
      <c r="F208" s="218">
        <f t="shared" si="237"/>
        <v>0</v>
      </c>
      <c r="G208" s="218">
        <f t="shared" si="237"/>
        <v>0</v>
      </c>
      <c r="H208" s="218">
        <f t="shared" si="237"/>
        <v>55000000</v>
      </c>
      <c r="I208" s="218">
        <f t="shared" si="237"/>
        <v>2410000000</v>
      </c>
      <c r="J208" s="218">
        <f t="shared" si="237"/>
        <v>795000000</v>
      </c>
      <c r="K208" s="218">
        <f t="shared" si="237"/>
        <v>795000000</v>
      </c>
      <c r="L208" s="218">
        <f t="shared" si="237"/>
        <v>795000000</v>
      </c>
      <c r="M208" s="218">
        <f t="shared" si="237"/>
        <v>795000000</v>
      </c>
      <c r="N208" s="218">
        <f t="shared" si="237"/>
        <v>0</v>
      </c>
      <c r="O208" s="218">
        <f t="shared" si="237"/>
        <v>0</v>
      </c>
      <c r="P208" s="218">
        <f t="shared" si="237"/>
        <v>289190227</v>
      </c>
      <c r="Q208" s="218">
        <f t="shared" si="237"/>
        <v>289190227</v>
      </c>
      <c r="R208" s="218">
        <f t="shared" si="237"/>
        <v>0</v>
      </c>
      <c r="S208" s="218">
        <f t="shared" si="237"/>
        <v>0</v>
      </c>
      <c r="T208" s="218">
        <f t="shared" si="237"/>
        <v>0</v>
      </c>
      <c r="U208" s="208"/>
      <c r="V208" s="208"/>
      <c r="W208" s="208"/>
      <c r="X208" s="208"/>
    </row>
    <row r="209" spans="1:24" x14ac:dyDescent="0.3">
      <c r="A209" s="111" t="s">
        <v>847</v>
      </c>
      <c r="B209" s="111" t="s">
        <v>848</v>
      </c>
      <c r="C209" s="219"/>
      <c r="D209" s="209">
        <f>SUMIFS(gastos!Q:Q,gastos!M:M,ejec_ICPA!B209,gastos!P:P,ejec_ICPA!A209)</f>
        <v>0</v>
      </c>
      <c r="E209" s="209">
        <f>SUMIFS(gastos!R:R,gastos!M:M,ejec_ICPA!B209,gastos!P:P,ejec_ICPA!A209)</f>
        <v>2465000000</v>
      </c>
      <c r="F209" s="209">
        <f>SUMIFS(gastos!S:S,gastos!M:M,ejec_ICPA!B209,gastos!P:P,ejec_ICPA!A209)</f>
        <v>0</v>
      </c>
      <c r="G209" s="209">
        <f>SUMIFS(gastos!T:T,gastos!M:M,ejec_ICPA!B209,gastos!P:P,ejec_ICPA!A209)</f>
        <v>0</v>
      </c>
      <c r="H209" s="209">
        <f>SUMIFS(gastos!U:U,gastos!M:M,ejec_ICPA!B209,gastos!P:P,ejec_ICPA!A209)</f>
        <v>55000000</v>
      </c>
      <c r="I209" s="209">
        <f>D209+E209-F209+G209-H209</f>
        <v>2410000000</v>
      </c>
      <c r="J209" s="209">
        <f>SUMIFS(gastos!W:W,gastos!M:M,ejec_ICPA!B209,gastos!P:P,ejec_ICPA!A209)</f>
        <v>795000000</v>
      </c>
      <c r="K209" s="209">
        <f>SUMIFS(gastos!X:X,gastos!$M:$M,ejec_ICPA!B209,gastos!$P:$P,ejec_ICPA!A209)</f>
        <v>795000000</v>
      </c>
      <c r="L209" s="209">
        <f>SUMIFS(gastos!$Z:$Z,gastos!$M:$M,ejec_ICPA!$B209,gastos!$P:$P,ejec_ICPA!$A209)</f>
        <v>795000000</v>
      </c>
      <c r="M209" s="209">
        <f>SUMIFS(gastos!$AE:$AE,gastos!$M:$M,ejec_ICPA!$B209,gastos!$P:$P,ejec_ICPA!$A209)</f>
        <v>795000000</v>
      </c>
      <c r="N209" s="209">
        <f>SUMIFS(gastos!AG:AG,gastos!$M:$M,ejec_ICPA!B209,gastos!$P:$P,ejec_ICPA!A209)</f>
        <v>0</v>
      </c>
      <c r="O209" s="209">
        <f>SUMIFS(gastos!AH:AH,gastos!$M:$M,ejec_ICPA!$B209,gastos!$P:$P,ejec_ICPA!$A209)</f>
        <v>0</v>
      </c>
      <c r="P209" s="209">
        <f>SUMIFS(gastos!$AF:$AF,gastos!$M:$M,ejec_ICPA!$B209,gastos!$P:$P,ejec_ICPA!$A209)</f>
        <v>289190227</v>
      </c>
      <c r="Q209" s="209">
        <f>SUMIFS(gastos!AJ:AJ,gastos!$M:$M,ejec_ICPA!$B209,gastos!$P:$P,ejec_ICPA!$A209)</f>
        <v>289190227</v>
      </c>
      <c r="R209" s="209">
        <f>K209-L209</f>
        <v>0</v>
      </c>
      <c r="S209" s="209">
        <f>L209-J209</f>
        <v>0</v>
      </c>
      <c r="T209" s="209">
        <f>J209-M209</f>
        <v>0</v>
      </c>
    </row>
    <row r="210" spans="1:24" s="105" customFormat="1" x14ac:dyDescent="0.3">
      <c r="A210" s="113" t="s">
        <v>717</v>
      </c>
      <c r="B210" s="217" t="s">
        <v>434</v>
      </c>
      <c r="C210" s="218">
        <f>SUM(C211)</f>
        <v>50000000</v>
      </c>
      <c r="D210" s="218">
        <f t="shared" ref="D210:T210" si="238">SUM(D211)</f>
        <v>50000000</v>
      </c>
      <c r="E210" s="218">
        <f t="shared" si="238"/>
        <v>0</v>
      </c>
      <c r="F210" s="218">
        <f t="shared" si="238"/>
        <v>0</v>
      </c>
      <c r="G210" s="218">
        <f t="shared" si="238"/>
        <v>0</v>
      </c>
      <c r="H210" s="218">
        <f t="shared" si="238"/>
        <v>0</v>
      </c>
      <c r="I210" s="218">
        <f t="shared" si="238"/>
        <v>50000000</v>
      </c>
      <c r="J210" s="218">
        <f t="shared" si="238"/>
        <v>35592848</v>
      </c>
      <c r="K210" s="218">
        <f t="shared" si="238"/>
        <v>35592848</v>
      </c>
      <c r="L210" s="218">
        <f t="shared" si="238"/>
        <v>35592848</v>
      </c>
      <c r="M210" s="218">
        <f t="shared" si="238"/>
        <v>35592848</v>
      </c>
      <c r="N210" s="218">
        <f t="shared" si="238"/>
        <v>-8898211</v>
      </c>
      <c r="O210" s="218">
        <f t="shared" si="238"/>
        <v>0</v>
      </c>
      <c r="P210" s="218">
        <f t="shared" si="238"/>
        <v>0</v>
      </c>
      <c r="Q210" s="218">
        <f t="shared" si="238"/>
        <v>0</v>
      </c>
      <c r="R210" s="218">
        <f t="shared" si="238"/>
        <v>0</v>
      </c>
      <c r="S210" s="218">
        <f t="shared" si="238"/>
        <v>0</v>
      </c>
      <c r="T210" s="218">
        <f t="shared" si="238"/>
        <v>0</v>
      </c>
      <c r="U210" s="208"/>
      <c r="V210" s="208"/>
      <c r="W210" s="208"/>
      <c r="X210" s="208"/>
    </row>
    <row r="211" spans="1:24" x14ac:dyDescent="0.3">
      <c r="A211" s="111" t="s">
        <v>436</v>
      </c>
      <c r="B211" s="215" t="s">
        <v>435</v>
      </c>
      <c r="C211" s="219">
        <v>50000000</v>
      </c>
      <c r="D211" s="209">
        <f>SUMIFS(gastos!Q:Q,gastos!M:M,ejec_ICPA!B211,gastos!P:P,ejec_ICPA!A211)</f>
        <v>50000000</v>
      </c>
      <c r="E211" s="209">
        <f>SUMIFS(gastos!R:R,gastos!M:M,ejec_ICPA!B211,gastos!P:P,ejec_ICPA!A211)</f>
        <v>0</v>
      </c>
      <c r="F211" s="209">
        <f>SUMIFS(gastos!S:S,gastos!M:M,ejec_ICPA!B211,gastos!P:P,ejec_ICPA!A211)</f>
        <v>0</v>
      </c>
      <c r="G211" s="209">
        <f>SUMIFS(gastos!T:T,gastos!M:M,ejec_ICPA!B211,gastos!P:P,ejec_ICPA!A211)</f>
        <v>0</v>
      </c>
      <c r="H211" s="209">
        <f>SUMIFS(gastos!U:U,gastos!M:M,ejec_ICPA!B211,gastos!P:P,ejec_ICPA!A211)</f>
        <v>0</v>
      </c>
      <c r="I211" s="209">
        <f>D211+E211-F211+G211-H211</f>
        <v>50000000</v>
      </c>
      <c r="J211" s="209">
        <f>SUMIFS(gastos!W:W,gastos!M:M,ejec_ICPA!B211,gastos!P:P,ejec_ICPA!A211)</f>
        <v>35592848</v>
      </c>
      <c r="K211" s="209">
        <f>SUMIFS(gastos!X:X,gastos!$M:$M,ejec_ICPA!B211,gastos!$P:$P,ejec_ICPA!A211)</f>
        <v>35592848</v>
      </c>
      <c r="L211" s="209">
        <f>SUMIFS(gastos!$Z:$Z,gastos!$M:$M,ejec_ICPA!$B211,gastos!$P:$P,ejec_ICPA!$A211)</f>
        <v>35592848</v>
      </c>
      <c r="M211" s="209">
        <f>SUMIFS(gastos!$AE:$AE,gastos!$M:$M,ejec_ICPA!$B211,gastos!$P:$P,ejec_ICPA!$A211)</f>
        <v>35592848</v>
      </c>
      <c r="N211" s="209">
        <f>SUMIFS(gastos!AG:AG,gastos!$M:$M,ejec_ICPA!B211,gastos!$P:$P,ejec_ICPA!A211)</f>
        <v>-8898211</v>
      </c>
      <c r="O211" s="209">
        <f>SUMIFS(gastos!AH:AH,gastos!$M:$M,ejec_ICPA!$B211,gastos!$P:$P,ejec_ICPA!$A211)</f>
        <v>0</v>
      </c>
      <c r="P211" s="209">
        <f>SUMIFS(gastos!$AF:$AF,gastos!$M:$M,ejec_ICPA!$B211,gastos!$P:$P,ejec_ICPA!$A211)</f>
        <v>0</v>
      </c>
      <c r="Q211" s="209">
        <f>SUMIFS(gastos!AJ:AJ,gastos!$M:$M,ejec_ICPA!$B211,gastos!$P:$P,ejec_ICPA!$A211)</f>
        <v>0</v>
      </c>
      <c r="R211" s="209">
        <f>K211-L211</f>
        <v>0</v>
      </c>
      <c r="S211" s="209">
        <f>L211-J211</f>
        <v>0</v>
      </c>
      <c r="T211" s="209">
        <f>J211-M211</f>
        <v>0</v>
      </c>
    </row>
    <row r="212" spans="1:24" s="105" customFormat="1" x14ac:dyDescent="0.3">
      <c r="A212" s="113" t="s">
        <v>894</v>
      </c>
      <c r="B212" s="217" t="s">
        <v>434</v>
      </c>
      <c r="C212" s="218">
        <f>SUM(C213)</f>
        <v>0</v>
      </c>
      <c r="D212" s="218">
        <f t="shared" ref="D212:T212" si="239">SUM(D213)</f>
        <v>0</v>
      </c>
      <c r="E212" s="218">
        <f t="shared" si="239"/>
        <v>0</v>
      </c>
      <c r="F212" s="218">
        <f t="shared" si="239"/>
        <v>0</v>
      </c>
      <c r="G212" s="218">
        <f t="shared" si="239"/>
        <v>0</v>
      </c>
      <c r="H212" s="218">
        <f t="shared" si="239"/>
        <v>0</v>
      </c>
      <c r="I212" s="218">
        <f t="shared" si="239"/>
        <v>0</v>
      </c>
      <c r="J212" s="218">
        <f t="shared" si="239"/>
        <v>0</v>
      </c>
      <c r="K212" s="218">
        <f t="shared" si="239"/>
        <v>0</v>
      </c>
      <c r="L212" s="218">
        <f t="shared" si="239"/>
        <v>0</v>
      </c>
      <c r="M212" s="218">
        <f t="shared" si="239"/>
        <v>0</v>
      </c>
      <c r="N212" s="218">
        <f t="shared" si="239"/>
        <v>0</v>
      </c>
      <c r="O212" s="218">
        <f t="shared" si="239"/>
        <v>0</v>
      </c>
      <c r="P212" s="218">
        <f t="shared" si="239"/>
        <v>0</v>
      </c>
      <c r="Q212" s="218">
        <f t="shared" si="239"/>
        <v>0</v>
      </c>
      <c r="R212" s="218">
        <f t="shared" si="239"/>
        <v>0</v>
      </c>
      <c r="S212" s="218">
        <f t="shared" si="239"/>
        <v>0</v>
      </c>
      <c r="T212" s="218">
        <f t="shared" si="239"/>
        <v>0</v>
      </c>
      <c r="U212" s="208"/>
      <c r="V212" s="208"/>
      <c r="W212" s="208"/>
      <c r="X212" s="208"/>
    </row>
    <row r="213" spans="1:24" x14ac:dyDescent="0.3">
      <c r="A213" s="111" t="s">
        <v>849</v>
      </c>
      <c r="B213" s="111" t="s">
        <v>435</v>
      </c>
      <c r="C213" s="215">
        <v>0</v>
      </c>
      <c r="D213" s="209">
        <f>SUMIFS(gastos!Q:Q,gastos!M:M,ejec_ICPA!B213,gastos!P:P,ejec_ICPA!A213)</f>
        <v>0</v>
      </c>
      <c r="E213" s="209">
        <f>SUMIFS(gastos!R:R,gastos!M:M,ejec_ICPA!B213,gastos!P:P,ejec_ICPA!A213)</f>
        <v>0</v>
      </c>
      <c r="F213" s="209">
        <f>SUMIFS(gastos!S:S,gastos!M:M,ejec_ICPA!B213,gastos!P:P,ejec_ICPA!A213)</f>
        <v>0</v>
      </c>
      <c r="G213" s="209">
        <f>SUMIFS(gastos!T:T,gastos!M:M,ejec_ICPA!B213,gastos!P:P,ejec_ICPA!A213)</f>
        <v>0</v>
      </c>
      <c r="H213" s="209">
        <f>SUMIFS(gastos!U:U,gastos!M:M,ejec_ICPA!B213,gastos!P:P,ejec_ICPA!A213)</f>
        <v>0</v>
      </c>
      <c r="I213" s="209">
        <f>D213+E213-F213+G213-H213</f>
        <v>0</v>
      </c>
      <c r="J213" s="209">
        <f>SUMIFS(gastos!W:W,gastos!M:M,ejec_ICPA!B213,gastos!P:P,ejec_ICPA!A213)</f>
        <v>0</v>
      </c>
      <c r="K213" s="209">
        <f>SUMIFS(gastos!X:X,gastos!$M:$M,ejec_ICPA!B213,gastos!$P:$P,ejec_ICPA!A213)</f>
        <v>0</v>
      </c>
      <c r="L213" s="209">
        <f>SUMIFS(gastos!$Z:$Z,gastos!$M:$M,ejec_ICPA!$B213,gastos!$P:$P,ejec_ICPA!$A213)</f>
        <v>0</v>
      </c>
      <c r="M213" s="209">
        <f>SUMIFS(gastos!$AE:$AE,gastos!$M:$M,ejec_ICPA!$B213,gastos!$P:$P,ejec_ICPA!$A213)</f>
        <v>0</v>
      </c>
      <c r="N213" s="209">
        <f>SUMIFS(gastos!AG:AG,gastos!$M:$M,ejec_ICPA!B213,gastos!$P:$P,ejec_ICPA!A213)</f>
        <v>0</v>
      </c>
      <c r="O213" s="209">
        <f>SUMIFS(gastos!AH:AH,gastos!$M:$M,ejec_ICPA!$B213,gastos!$P:$P,ejec_ICPA!$A213)</f>
        <v>0</v>
      </c>
      <c r="P213" s="209">
        <f>SUMIFS(gastos!$AF:$AF,gastos!$M:$M,ejec_ICPA!$B213,gastos!$P:$P,ejec_ICPA!$A213)</f>
        <v>0</v>
      </c>
      <c r="Q213" s="209">
        <f>SUMIFS(gastos!AJ:AJ,gastos!$M:$M,ejec_ICPA!$B213,gastos!$P:$P,ejec_ICPA!$A213)</f>
        <v>0</v>
      </c>
      <c r="R213" s="209">
        <f>K213-L213</f>
        <v>0</v>
      </c>
      <c r="S213" s="209">
        <f>L213-J213</f>
        <v>0</v>
      </c>
      <c r="T213" s="209">
        <f>J213-M213</f>
        <v>0</v>
      </c>
    </row>
  </sheetData>
  <sheetProtection autoFilter="0"/>
  <autoFilter ref="A1:T213" xr:uid="{377B8713-0306-462A-BE22-11CDD9C6793E}"/>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9"/>
  <sheetViews>
    <sheetView zoomScale="130" zoomScaleNormal="130" workbookViewId="0">
      <pane xSplit="7" ySplit="2" topLeftCell="H6" activePane="bottomRight" state="frozen"/>
      <selection pane="topRight" activeCell="G1" sqref="G1"/>
      <selection pane="bottomLeft" activeCell="A3" sqref="A3"/>
      <selection pane="bottomRight" activeCell="A7" sqref="A7"/>
    </sheetView>
  </sheetViews>
  <sheetFormatPr baseColWidth="10" defaultColWidth="11.44140625" defaultRowHeight="12" x14ac:dyDescent="0.25"/>
  <cols>
    <col min="1" max="1" width="36.5546875" style="310" customWidth="1"/>
    <col min="2" max="2" width="7" style="311" customWidth="1"/>
    <col min="3" max="3" width="0.33203125" style="242" customWidth="1"/>
    <col min="4" max="4" width="14.109375" style="311" customWidth="1"/>
    <col min="5" max="5" width="0.33203125" style="310" customWidth="1"/>
    <col min="6" max="6" width="5.33203125" style="313" customWidth="1"/>
    <col min="7" max="7" width="13.88671875" style="313" customWidth="1"/>
    <col min="8" max="8" width="15.109375" style="313" customWidth="1"/>
    <col min="9" max="9" width="12.109375" style="313" customWidth="1"/>
    <col min="10" max="12" width="15.109375" style="313" customWidth="1"/>
    <col min="13" max="14" width="14.109375" style="313" customWidth="1"/>
    <col min="15" max="15" width="14.5546875" style="313" customWidth="1"/>
    <col min="16" max="16" width="14.6640625" style="313" customWidth="1"/>
    <col min="17" max="17" width="15.109375" style="313" customWidth="1"/>
    <col min="18" max="18" width="11.109375" style="314" customWidth="1"/>
    <col min="19" max="19" width="10.5546875" style="314" customWidth="1"/>
    <col min="20" max="23" width="13.88671875" style="313" customWidth="1"/>
    <col min="24" max="24" width="13.88671875" style="242" customWidth="1"/>
    <col min="25" max="25" width="12.6640625" style="242" customWidth="1"/>
    <col min="26" max="26" width="13" style="242" customWidth="1"/>
    <col min="27" max="16384" width="11.44140625" style="242"/>
  </cols>
  <sheetData>
    <row r="1" spans="1:26" s="235" customFormat="1" ht="31.2" customHeight="1" x14ac:dyDescent="0.25">
      <c r="A1" s="228" t="s">
        <v>143</v>
      </c>
      <c r="B1" s="229" t="s">
        <v>144</v>
      </c>
      <c r="C1" s="228" t="s">
        <v>145</v>
      </c>
      <c r="D1" s="228" t="s">
        <v>146</v>
      </c>
      <c r="E1" s="228" t="s">
        <v>753</v>
      </c>
      <c r="F1" s="228" t="s">
        <v>147</v>
      </c>
      <c r="G1" s="228" t="s">
        <v>148</v>
      </c>
      <c r="H1" s="228" t="s">
        <v>149</v>
      </c>
      <c r="I1" s="228" t="s">
        <v>150</v>
      </c>
      <c r="J1" s="228" t="s">
        <v>151</v>
      </c>
      <c r="K1" s="228" t="s">
        <v>152</v>
      </c>
      <c r="L1" s="230" t="s">
        <v>153</v>
      </c>
      <c r="M1" s="230" t="s">
        <v>154</v>
      </c>
      <c r="N1" s="230" t="s">
        <v>155</v>
      </c>
      <c r="O1" s="228" t="s">
        <v>156</v>
      </c>
      <c r="P1" s="228" t="s">
        <v>157</v>
      </c>
      <c r="Q1" s="230" t="s">
        <v>158</v>
      </c>
      <c r="R1" s="231" t="s">
        <v>159</v>
      </c>
      <c r="S1" s="231" t="s">
        <v>160</v>
      </c>
      <c r="T1" s="232" t="s">
        <v>161</v>
      </c>
      <c r="U1" s="232" t="s">
        <v>162</v>
      </c>
      <c r="V1" s="233" t="s">
        <v>163</v>
      </c>
      <c r="W1" s="233" t="s">
        <v>164</v>
      </c>
      <c r="X1" s="234" t="s">
        <v>699</v>
      </c>
      <c r="Y1" s="234" t="s">
        <v>700</v>
      </c>
      <c r="Z1" s="234" t="s">
        <v>701</v>
      </c>
    </row>
    <row r="2" spans="1:26" x14ac:dyDescent="0.25">
      <c r="A2" s="236" t="s">
        <v>165</v>
      </c>
      <c r="B2" s="237"/>
      <c r="C2" s="238"/>
      <c r="D2" s="237"/>
      <c r="E2" s="239"/>
      <c r="F2" s="318"/>
      <c r="G2" s="240">
        <f t="shared" ref="G2:P2" si="0">+G3+G44</f>
        <v>14533479602</v>
      </c>
      <c r="H2" s="240">
        <f t="shared" si="0"/>
        <v>11119206983</v>
      </c>
      <c r="I2" s="240">
        <f t="shared" si="0"/>
        <v>701874892</v>
      </c>
      <c r="J2" s="240">
        <f>+J3+J44</f>
        <v>3699004714</v>
      </c>
      <c r="K2" s="240">
        <f t="shared" si="0"/>
        <v>3699004714</v>
      </c>
      <c r="L2" s="240">
        <f t="shared" si="0"/>
        <v>24950811693</v>
      </c>
      <c r="M2" s="240">
        <f t="shared" si="0"/>
        <v>18989338934</v>
      </c>
      <c r="N2" s="240">
        <f t="shared" si="0"/>
        <v>18989338934</v>
      </c>
      <c r="O2" s="240">
        <f t="shared" si="0"/>
        <v>18989338934</v>
      </c>
      <c r="P2" s="240">
        <f t="shared" si="0"/>
        <v>16868331328</v>
      </c>
      <c r="Q2" s="240">
        <f>+Q3+Q44</f>
        <v>5961472759</v>
      </c>
      <c r="R2" s="241">
        <f t="shared" ref="R2" si="1">N2/L2</f>
        <v>0.76107098909842263</v>
      </c>
      <c r="S2" s="241">
        <f t="shared" ref="S2" si="2">P2/L2</f>
        <v>0.67606342974134359</v>
      </c>
      <c r="T2" s="240">
        <f t="shared" ref="T2:W2" si="3">+T3+T44</f>
        <v>13866369</v>
      </c>
      <c r="U2" s="240">
        <f t="shared" si="3"/>
        <v>855320639</v>
      </c>
      <c r="V2" s="240">
        <f t="shared" si="3"/>
        <v>7076062550</v>
      </c>
      <c r="W2" s="240">
        <f t="shared" si="3"/>
        <v>5046753037</v>
      </c>
      <c r="X2" s="240">
        <f t="shared" ref="X2" si="4">+X3+X44</f>
        <v>0</v>
      </c>
      <c r="Y2" s="240">
        <f t="shared" ref="Y2" si="5">+Y3+Y44</f>
        <v>0</v>
      </c>
      <c r="Z2" s="240">
        <f t="shared" ref="Z2" si="6">+Z3+Z44</f>
        <v>2121007606</v>
      </c>
    </row>
    <row r="3" spans="1:26" s="249" customFormat="1" x14ac:dyDescent="0.25">
      <c r="A3" s="243" t="s">
        <v>166</v>
      </c>
      <c r="B3" s="244"/>
      <c r="C3" s="245"/>
      <c r="D3" s="246" t="s">
        <v>649</v>
      </c>
      <c r="E3" s="243" t="s">
        <v>649</v>
      </c>
      <c r="F3" s="319"/>
      <c r="G3" s="247">
        <f>G4+G23+G29+G34+G38</f>
        <v>7318227555</v>
      </c>
      <c r="H3" s="247">
        <f t="shared" ref="H3:Q3" si="7">H4+H23+H29+H34+H38</f>
        <v>0</v>
      </c>
      <c r="I3" s="247">
        <f t="shared" si="7"/>
        <v>0</v>
      </c>
      <c r="J3" s="247">
        <f t="shared" si="7"/>
        <v>134100000</v>
      </c>
      <c r="K3" s="247">
        <f t="shared" si="7"/>
        <v>134100000</v>
      </c>
      <c r="L3" s="247">
        <f t="shared" si="7"/>
        <v>7318227555</v>
      </c>
      <c r="M3" s="247">
        <f t="shared" si="7"/>
        <v>6187571634</v>
      </c>
      <c r="N3" s="247">
        <f t="shared" si="7"/>
        <v>6187571634</v>
      </c>
      <c r="O3" s="247">
        <f t="shared" si="7"/>
        <v>6187571634</v>
      </c>
      <c r="P3" s="247">
        <f t="shared" si="7"/>
        <v>5632017143</v>
      </c>
      <c r="Q3" s="247">
        <f t="shared" si="7"/>
        <v>1130655921</v>
      </c>
      <c r="R3" s="248">
        <f t="shared" ref="R3:R85" si="8">N3/L3</f>
        <v>0.84550139873315266</v>
      </c>
      <c r="S3" s="248">
        <f t="shared" ref="S3:S85" si="9">P3/L3</f>
        <v>0.76958759490227413</v>
      </c>
      <c r="T3" s="247">
        <f t="shared" ref="T3" si="10">T4+T23+T29+T34+T38</f>
        <v>792883432</v>
      </c>
      <c r="U3" s="247">
        <f t="shared" ref="U3" si="11">U4+U23+U29+U34+U38</f>
        <v>855320639</v>
      </c>
      <c r="V3" s="247">
        <f t="shared" ref="V3" si="12">V4+V23+V29+V34+V38</f>
        <v>1374631057</v>
      </c>
      <c r="W3" s="247">
        <f t="shared" ref="W3" si="13">W4+W23+W29+W34+W38</f>
        <v>915274659</v>
      </c>
      <c r="X3" s="247">
        <f t="shared" ref="X3" si="14">X4+X23+X29+X34+X38</f>
        <v>0</v>
      </c>
      <c r="Y3" s="247">
        <f t="shared" ref="Y3" si="15">Y4+Y23+Y29+Y34+Y38</f>
        <v>0</v>
      </c>
      <c r="Z3" s="247">
        <f t="shared" ref="Z3" si="16">Z4+Z23+Z29+Z34+Z38</f>
        <v>555554491</v>
      </c>
    </row>
    <row r="4" spans="1:26" s="256" customFormat="1" x14ac:dyDescent="0.25">
      <c r="A4" s="250" t="s">
        <v>611</v>
      </c>
      <c r="B4" s="251"/>
      <c r="C4" s="252"/>
      <c r="D4" s="253" t="s">
        <v>650</v>
      </c>
      <c r="E4" s="250" t="s">
        <v>650</v>
      </c>
      <c r="F4" s="320"/>
      <c r="G4" s="254">
        <f>G5</f>
        <v>5183253938</v>
      </c>
      <c r="H4" s="254">
        <f t="shared" ref="H4:Q4" si="17">H5</f>
        <v>0</v>
      </c>
      <c r="I4" s="254">
        <f t="shared" si="17"/>
        <v>0</v>
      </c>
      <c r="J4" s="254">
        <f t="shared" si="17"/>
        <v>0</v>
      </c>
      <c r="K4" s="254">
        <f t="shared" si="17"/>
        <v>70000000</v>
      </c>
      <c r="L4" s="254">
        <f t="shared" si="17"/>
        <v>5113253938</v>
      </c>
      <c r="M4" s="254">
        <f t="shared" si="17"/>
        <v>4457084970</v>
      </c>
      <c r="N4" s="254">
        <f t="shared" si="17"/>
        <v>4457084970</v>
      </c>
      <c r="O4" s="254">
        <f t="shared" si="17"/>
        <v>4457084970</v>
      </c>
      <c r="P4" s="254">
        <f t="shared" si="17"/>
        <v>4193856104</v>
      </c>
      <c r="Q4" s="254">
        <f t="shared" si="17"/>
        <v>656168968</v>
      </c>
      <c r="R4" s="255">
        <f t="shared" si="8"/>
        <v>0.87167291592471663</v>
      </c>
      <c r="S4" s="255">
        <f t="shared" si="9"/>
        <v>0.8201931988616209</v>
      </c>
      <c r="T4" s="254">
        <f t="shared" ref="T4" si="18">T5</f>
        <v>825383899</v>
      </c>
      <c r="U4" s="254">
        <f t="shared" ref="U4" si="19">U5</f>
        <v>825383899</v>
      </c>
      <c r="V4" s="254">
        <f t="shared" ref="V4" si="20">V5</f>
        <v>825383899</v>
      </c>
      <c r="W4" s="254">
        <f t="shared" ref="W4" si="21">W5</f>
        <v>643725261</v>
      </c>
      <c r="X4" s="254">
        <f t="shared" ref="X4" si="22">X5</f>
        <v>0</v>
      </c>
      <c r="Y4" s="254">
        <f t="shared" ref="Y4" si="23">Y5</f>
        <v>0</v>
      </c>
      <c r="Z4" s="254">
        <f t="shared" ref="Z4" si="24">Z5</f>
        <v>263228866</v>
      </c>
    </row>
    <row r="5" spans="1:26" s="263" customFormat="1" x14ac:dyDescent="0.25">
      <c r="A5" s="257" t="s">
        <v>612</v>
      </c>
      <c r="B5" s="258"/>
      <c r="C5" s="259"/>
      <c r="D5" s="260" t="s">
        <v>651</v>
      </c>
      <c r="E5" s="257" t="s">
        <v>651</v>
      </c>
      <c r="F5" s="321"/>
      <c r="G5" s="261">
        <f>SUM(G6:G22)</f>
        <v>5183253938</v>
      </c>
      <c r="H5" s="261">
        <f t="shared" ref="H5:Q5" si="25">SUM(H6:H22)</f>
        <v>0</v>
      </c>
      <c r="I5" s="261">
        <f t="shared" si="25"/>
        <v>0</v>
      </c>
      <c r="J5" s="261">
        <f t="shared" si="25"/>
        <v>0</v>
      </c>
      <c r="K5" s="261">
        <f t="shared" si="25"/>
        <v>70000000</v>
      </c>
      <c r="L5" s="261">
        <f t="shared" si="25"/>
        <v>5113253938</v>
      </c>
      <c r="M5" s="261">
        <f t="shared" si="25"/>
        <v>4457084970</v>
      </c>
      <c r="N5" s="261">
        <f t="shared" si="25"/>
        <v>4457084970</v>
      </c>
      <c r="O5" s="261">
        <f t="shared" si="25"/>
        <v>4457084970</v>
      </c>
      <c r="P5" s="261">
        <f t="shared" si="25"/>
        <v>4193856104</v>
      </c>
      <c r="Q5" s="261">
        <f t="shared" si="25"/>
        <v>656168968</v>
      </c>
      <c r="R5" s="262">
        <f t="shared" si="8"/>
        <v>0.87167291592471663</v>
      </c>
      <c r="S5" s="262">
        <f t="shared" si="9"/>
        <v>0.8201931988616209</v>
      </c>
      <c r="T5" s="261">
        <f t="shared" ref="T5" si="26">SUM(T6:T22)</f>
        <v>825383899</v>
      </c>
      <c r="U5" s="261">
        <f t="shared" ref="U5" si="27">SUM(U6:U22)</f>
        <v>825383899</v>
      </c>
      <c r="V5" s="261">
        <f t="shared" ref="V5" si="28">SUM(V6:V22)</f>
        <v>825383899</v>
      </c>
      <c r="W5" s="261">
        <f t="shared" ref="W5" si="29">SUM(W6:W22)</f>
        <v>643725261</v>
      </c>
      <c r="X5" s="261">
        <f t="shared" ref="X5" si="30">SUM(X6:X22)</f>
        <v>0</v>
      </c>
      <c r="Y5" s="261">
        <f t="shared" ref="Y5" si="31">SUM(Y6:Y22)</f>
        <v>0</v>
      </c>
      <c r="Z5" s="261">
        <f t="shared" ref="Z5" si="32">SUM(Z6:Z22)</f>
        <v>263228866</v>
      </c>
    </row>
    <row r="6" spans="1:26" x14ac:dyDescent="0.25">
      <c r="A6" s="264" t="s">
        <v>525</v>
      </c>
      <c r="B6" s="265">
        <v>999999</v>
      </c>
      <c r="C6" s="266"/>
      <c r="D6" s="267" t="s">
        <v>735</v>
      </c>
      <c r="E6" s="264" t="s">
        <v>526</v>
      </c>
      <c r="F6" s="315" t="s">
        <v>217</v>
      </c>
      <c r="G6" s="268">
        <f>SUMIFS(ejec_ICPA!D:D,ejec_ICPA!B:B,vigencia!A6,ejec_ICPA!A:A,vigencia!E6)</f>
        <v>2959228126</v>
      </c>
      <c r="H6" s="268">
        <f>SUMIFS(ejec_ICPA!E:E,ejec_ICPA!B:B,vigencia!A6,ejec_ICPA!A:A,vigencia!E6)</f>
        <v>0</v>
      </c>
      <c r="I6" s="268">
        <f>SUMIFS(ejec_ICPA!F:F,ejec_ICPA!B:B,vigencia!A6,ejec_ICPA!A:A,vigencia!E6)</f>
        <v>0</v>
      </c>
      <c r="J6" s="268">
        <f>SUMIFS(ejec_ICPA!G:G,ejec_ICPA!B:B,vigencia!A6,ejec_ICPA!A:A,vigencia!E6)</f>
        <v>0</v>
      </c>
      <c r="K6" s="268">
        <f>SUMIFS(ejec_ICPA!H:H,ejec_ICPA!B:B,vigencia!A6,ejec_ICPA!A:A,vigencia!E6)</f>
        <v>70000000</v>
      </c>
      <c r="L6" s="268">
        <f>G6+H6-I6+J6-K6</f>
        <v>2889228126</v>
      </c>
      <c r="M6" s="268">
        <f>SUMIFS(ejec_ICPA!K:K,ejec_ICPA!B:B,vigencia!A6,ejec_ICPA!A:A,vigencia!E6)</f>
        <v>2513047313</v>
      </c>
      <c r="N6" s="268">
        <f>SUMIFS(ejec_ICPA!L:L,ejec_ICPA!B:B,vigencia!A6,ejec_ICPA!A:A,vigencia!E6)</f>
        <v>2513047313</v>
      </c>
      <c r="O6" s="268">
        <f>SUMIFS(ejec_ICPA!J:J,ejec_ICPA!B:B,vigencia!A6,ejec_ICPA!A:A,vigencia!E6)</f>
        <v>2513047313</v>
      </c>
      <c r="P6" s="268">
        <f>SUMIFS(ejec_ICPA!M:M,ejec_ICPA!B:B,vigencia!A6,ejec_ICPA!A:A,vigencia!E6)</f>
        <v>2513047313</v>
      </c>
      <c r="Q6" s="269">
        <f>L6-N6</f>
        <v>376180813</v>
      </c>
      <c r="R6" s="270">
        <f t="shared" si="8"/>
        <v>0.86979885402098567</v>
      </c>
      <c r="S6" s="271">
        <f t="shared" si="9"/>
        <v>0.86979885402098567</v>
      </c>
      <c r="T6" s="268">
        <f>SUMIFS(ejec_ICPA!N:N,ejec_ICPA!B:B,vigencia!A6,ejec_ICPA!A:A,vigencia!E6)</f>
        <v>218799406</v>
      </c>
      <c r="U6" s="268">
        <f>SUMIFS(ejec_ICPA!O:O,ejec_ICPA!B:B,vigencia!A6,ejec_ICPA!A:A,vigencia!E6)</f>
        <v>218799406</v>
      </c>
      <c r="V6" s="268">
        <f>SUMIFS(ejec_ICPA!P:P,ejec_ICPA!B:B,vigencia!A6,ejec_ICPA!A:A,vigencia!E6)</f>
        <v>218799406</v>
      </c>
      <c r="W6" s="268">
        <f>SUMIFS(ejec_ICPA!Q:Q,ejec_ICPA!B:B,vigencia!A6,ejec_ICPA!A:A,vigencia!E6)</f>
        <v>218799406</v>
      </c>
      <c r="X6" s="272">
        <f>M6-N6</f>
        <v>0</v>
      </c>
      <c r="Y6" s="272">
        <f>N6-O6</f>
        <v>0</v>
      </c>
      <c r="Z6" s="272">
        <f>O6-P6</f>
        <v>0</v>
      </c>
    </row>
    <row r="7" spans="1:26" x14ac:dyDescent="0.25">
      <c r="A7" s="264" t="s">
        <v>527</v>
      </c>
      <c r="B7" s="265">
        <v>999999</v>
      </c>
      <c r="C7" s="266"/>
      <c r="D7" s="267" t="s">
        <v>736</v>
      </c>
      <c r="E7" s="264" t="s">
        <v>528</v>
      </c>
      <c r="F7" s="315" t="s">
        <v>217</v>
      </c>
      <c r="G7" s="268">
        <f>SUMIFS(ejec_ICPA!D:D,ejec_ICPA!B:B,vigencia!A7,ejec_ICPA!A:A,vigencia!E7)</f>
        <v>48580516</v>
      </c>
      <c r="H7" s="268">
        <f>SUMIFS(ejec_ICPA!E:E,ejec_ICPA!B:B,vigencia!A7,ejec_ICPA!A:A,vigencia!E7)</f>
        <v>0</v>
      </c>
      <c r="I7" s="268">
        <f>SUMIFS(ejec_ICPA!F:F,ejec_ICPA!B:B,vigencia!A7,ejec_ICPA!A:A,vigencia!E7)</f>
        <v>0</v>
      </c>
      <c r="J7" s="268">
        <f>SUMIFS(ejec_ICPA!G:G,ejec_ICPA!B:B,vigencia!A7,ejec_ICPA!A:A,vigencia!E7)</f>
        <v>0</v>
      </c>
      <c r="K7" s="268">
        <f>SUMIFS(ejec_ICPA!H:H,ejec_ICPA!B:B,vigencia!A7,ejec_ICPA!A:A,vigencia!E7)</f>
        <v>0</v>
      </c>
      <c r="L7" s="268">
        <f t="shared" ref="L7:L22" si="33">G7+H7-I7+J7-K7</f>
        <v>48580516</v>
      </c>
      <c r="M7" s="268">
        <f>SUMIFS(ejec_ICPA!K:K,ejec_ICPA!B:B,vigencia!A7,ejec_ICPA!A:A,vigencia!E7)</f>
        <v>16427205</v>
      </c>
      <c r="N7" s="268">
        <f>SUMIFS(ejec_ICPA!L:L,ejec_ICPA!B:B,vigencia!A7,ejec_ICPA!A:A,vigencia!E7)</f>
        <v>16427205</v>
      </c>
      <c r="O7" s="268">
        <f>SUMIFS(ejec_ICPA!J:J,ejec_ICPA!B:B,vigencia!A7,ejec_ICPA!A:A,vigencia!E7)</f>
        <v>16427205</v>
      </c>
      <c r="P7" s="268">
        <f>SUMIFS(ejec_ICPA!M:M,ejec_ICPA!B:B,vigencia!A7,ejec_ICPA!A:A,vigencia!E7)</f>
        <v>16427205</v>
      </c>
      <c r="Q7" s="269">
        <f t="shared" ref="Q7:Q22" si="34">L7-N7</f>
        <v>32153311</v>
      </c>
      <c r="R7" s="270">
        <f t="shared" si="8"/>
        <v>0.33814389703065317</v>
      </c>
      <c r="S7" s="271">
        <f t="shared" si="9"/>
        <v>0.33814389703065317</v>
      </c>
      <c r="T7" s="268">
        <f>SUMIFS(ejec_ICPA!N:N,ejec_ICPA!B:B,vigencia!A7,ejec_ICPA!A:A,vigencia!E7)</f>
        <v>401768</v>
      </c>
      <c r="U7" s="268">
        <f>SUMIFS(ejec_ICPA!O:O,ejec_ICPA!B:B,vigencia!A7,ejec_ICPA!A:A,vigencia!E7)</f>
        <v>401768</v>
      </c>
      <c r="V7" s="268">
        <f>SUMIFS(ejec_ICPA!P:P,ejec_ICPA!B:B,vigencia!A7,ejec_ICPA!A:A,vigencia!E7)</f>
        <v>401768</v>
      </c>
      <c r="W7" s="268">
        <f>SUMIFS(ejec_ICPA!Q:Q,ejec_ICPA!B:B,vigencia!A7,ejec_ICPA!A:A,vigencia!E7)</f>
        <v>401768</v>
      </c>
      <c r="X7" s="272">
        <f t="shared" ref="X7:X22" si="35">M7-N7</f>
        <v>0</v>
      </c>
      <c r="Y7" s="272">
        <f t="shared" ref="Y7:Y22" si="36">N7-O7</f>
        <v>0</v>
      </c>
      <c r="Z7" s="272">
        <f t="shared" ref="Z7:Z22" si="37">O7-P7</f>
        <v>0</v>
      </c>
    </row>
    <row r="8" spans="1:26" x14ac:dyDescent="0.25">
      <c r="A8" s="264" t="s">
        <v>529</v>
      </c>
      <c r="B8" s="265">
        <v>999999</v>
      </c>
      <c r="C8" s="266"/>
      <c r="D8" s="267" t="s">
        <v>737</v>
      </c>
      <c r="E8" s="264" t="s">
        <v>530</v>
      </c>
      <c r="F8" s="315" t="s">
        <v>217</v>
      </c>
      <c r="G8" s="268">
        <f>SUMIFS(ejec_ICPA!D:D,ejec_ICPA!B:B,vigencia!A8,ejec_ICPA!A:A,vigencia!E8)</f>
        <v>367200</v>
      </c>
      <c r="H8" s="268">
        <f>SUMIFS(ejec_ICPA!E:E,ejec_ICPA!B:B,vigencia!A8,ejec_ICPA!A:A,vigencia!E8)</f>
        <v>0</v>
      </c>
      <c r="I8" s="268">
        <f>SUMIFS(ejec_ICPA!F:F,ejec_ICPA!B:B,vigencia!A8,ejec_ICPA!A:A,vigencia!E8)</f>
        <v>0</v>
      </c>
      <c r="J8" s="268">
        <f>SUMIFS(ejec_ICPA!G:G,ejec_ICPA!B:B,vigencia!A8,ejec_ICPA!A:A,vigencia!E8)</f>
        <v>0</v>
      </c>
      <c r="K8" s="268">
        <f>SUMIFS(ejec_ICPA!H:H,ejec_ICPA!B:B,vigencia!A8,ejec_ICPA!A:A,vigencia!E8)</f>
        <v>0</v>
      </c>
      <c r="L8" s="268">
        <f t="shared" si="33"/>
        <v>367200</v>
      </c>
      <c r="M8" s="268">
        <f>SUMIFS(ejec_ICPA!K:K,ejec_ICPA!B:B,vigencia!A8,ejec_ICPA!A:A,vigencia!E8)</f>
        <v>345000</v>
      </c>
      <c r="N8" s="268">
        <f>SUMIFS(ejec_ICPA!L:L,ejec_ICPA!B:B,vigencia!A8,ejec_ICPA!A:A,vigencia!E8)</f>
        <v>345000</v>
      </c>
      <c r="O8" s="268">
        <f>SUMIFS(ejec_ICPA!J:J,ejec_ICPA!B:B,vigencia!A8,ejec_ICPA!A:A,vigencia!E8)</f>
        <v>345000</v>
      </c>
      <c r="P8" s="268">
        <f>SUMIFS(ejec_ICPA!M:M,ejec_ICPA!B:B,vigencia!A8,ejec_ICPA!A:A,vigencia!E8)</f>
        <v>345000</v>
      </c>
      <c r="Q8" s="269">
        <f t="shared" si="34"/>
        <v>22200</v>
      </c>
      <c r="R8" s="270">
        <f t="shared" si="8"/>
        <v>0.93954248366013071</v>
      </c>
      <c r="S8" s="271">
        <f t="shared" si="9"/>
        <v>0.93954248366013071</v>
      </c>
      <c r="T8" s="268">
        <f>SUMIFS(ejec_ICPA!N:N,ejec_ICPA!B:B,vigencia!A8,ejec_ICPA!A:A,vigencia!E8)</f>
        <v>28500</v>
      </c>
      <c r="U8" s="268">
        <f>SUMIFS(ejec_ICPA!O:O,ejec_ICPA!B:B,vigencia!A8,ejec_ICPA!A:A,vigencia!E8)</f>
        <v>28500</v>
      </c>
      <c r="V8" s="268">
        <f>SUMIFS(ejec_ICPA!P:P,ejec_ICPA!B:B,vigencia!A8,ejec_ICPA!A:A,vigencia!E8)</f>
        <v>28500</v>
      </c>
      <c r="W8" s="268">
        <f>SUMIFS(ejec_ICPA!Q:Q,ejec_ICPA!B:B,vigencia!A8,ejec_ICPA!A:A,vigencia!E8)</f>
        <v>28500</v>
      </c>
      <c r="X8" s="272">
        <f t="shared" si="35"/>
        <v>0</v>
      </c>
      <c r="Y8" s="272">
        <f t="shared" si="36"/>
        <v>0</v>
      </c>
      <c r="Z8" s="272">
        <f t="shared" si="37"/>
        <v>0</v>
      </c>
    </row>
    <row r="9" spans="1:26" x14ac:dyDescent="0.25">
      <c r="A9" s="264" t="s">
        <v>531</v>
      </c>
      <c r="B9" s="265">
        <v>999999</v>
      </c>
      <c r="C9" s="266"/>
      <c r="D9" s="267" t="s">
        <v>738</v>
      </c>
      <c r="E9" s="264" t="s">
        <v>532</v>
      </c>
      <c r="F9" s="315" t="s">
        <v>217</v>
      </c>
      <c r="G9" s="268">
        <f>SUMIFS(ejec_ICPA!D:D,ejec_ICPA!B:B,vigencia!A9,ejec_ICPA!A:A,vigencia!E9)</f>
        <v>125081046</v>
      </c>
      <c r="H9" s="268">
        <f>SUMIFS(ejec_ICPA!E:E,ejec_ICPA!B:B,vigencia!A9,ejec_ICPA!A:A,vigencia!E9)</f>
        <v>0</v>
      </c>
      <c r="I9" s="268">
        <f>SUMIFS(ejec_ICPA!F:F,ejec_ICPA!B:B,vigencia!A9,ejec_ICPA!A:A,vigencia!E9)</f>
        <v>0</v>
      </c>
      <c r="J9" s="268">
        <f>SUMIFS(ejec_ICPA!G:G,ejec_ICPA!B:B,vigencia!A9,ejec_ICPA!A:A,vigencia!E9)</f>
        <v>0</v>
      </c>
      <c r="K9" s="268">
        <f>SUMIFS(ejec_ICPA!H:H,ejec_ICPA!B:B,vigencia!A9,ejec_ICPA!A:A,vigencia!E9)</f>
        <v>0</v>
      </c>
      <c r="L9" s="268">
        <f t="shared" si="33"/>
        <v>125081046</v>
      </c>
      <c r="M9" s="268">
        <f>SUMIFS(ejec_ICPA!K:K,ejec_ICPA!B:B,vigencia!A9,ejec_ICPA!A:A,vigencia!E9)</f>
        <v>116234892</v>
      </c>
      <c r="N9" s="268">
        <f>SUMIFS(ejec_ICPA!L:L,ejec_ICPA!B:B,vigencia!A9,ejec_ICPA!A:A,vigencia!E9)</f>
        <v>116234892</v>
      </c>
      <c r="O9" s="268">
        <f>SUMIFS(ejec_ICPA!J:J,ejec_ICPA!B:B,vigencia!A9,ejec_ICPA!A:A,vigencia!E9)</f>
        <v>116234892</v>
      </c>
      <c r="P9" s="268">
        <f>SUMIFS(ejec_ICPA!M:M,ejec_ICPA!B:B,vigencia!A9,ejec_ICPA!A:A,vigencia!E9)</f>
        <v>116213880</v>
      </c>
      <c r="Q9" s="269">
        <f t="shared" si="34"/>
        <v>8846154</v>
      </c>
      <c r="R9" s="270">
        <f t="shared" si="8"/>
        <v>0.92927662277464484</v>
      </c>
      <c r="S9" s="271">
        <f t="shared" si="9"/>
        <v>0.92910863569209357</v>
      </c>
      <c r="T9" s="268">
        <f>SUMIFS(ejec_ICPA!N:N,ejec_ICPA!B:B,vigencia!A9,ejec_ICPA!A:A,vigencia!E9)</f>
        <v>-1412721</v>
      </c>
      <c r="U9" s="268">
        <f>SUMIFS(ejec_ICPA!O:O,ejec_ICPA!B:B,vigencia!A9,ejec_ICPA!A:A,vigencia!E9)</f>
        <v>-1412721</v>
      </c>
      <c r="V9" s="268">
        <f>SUMIFS(ejec_ICPA!P:P,ejec_ICPA!B:B,vigencia!A9,ejec_ICPA!A:A,vigencia!E9)</f>
        <v>-1412721</v>
      </c>
      <c r="W9" s="268">
        <f>SUMIFS(ejec_ICPA!Q:Q,ejec_ICPA!B:B,vigencia!A9,ejec_ICPA!A:A,vigencia!E9)</f>
        <v>-783140</v>
      </c>
      <c r="X9" s="272">
        <f t="shared" si="35"/>
        <v>0</v>
      </c>
      <c r="Y9" s="272">
        <f t="shared" si="36"/>
        <v>0</v>
      </c>
      <c r="Z9" s="272">
        <f t="shared" si="37"/>
        <v>21012</v>
      </c>
    </row>
    <row r="10" spans="1:26" x14ac:dyDescent="0.25">
      <c r="A10" s="264" t="s">
        <v>533</v>
      </c>
      <c r="B10" s="265">
        <v>999999</v>
      </c>
      <c r="C10" s="266"/>
      <c r="D10" s="267" t="s">
        <v>739</v>
      </c>
      <c r="E10" s="264" t="s">
        <v>534</v>
      </c>
      <c r="F10" s="315" t="s">
        <v>217</v>
      </c>
      <c r="G10" s="268">
        <f>SUMIFS(ejec_ICPA!D:D,ejec_ICPA!B:B,vigencia!A10,ejec_ICPA!A:A,vigencia!E10)</f>
        <v>86363745</v>
      </c>
      <c r="H10" s="268">
        <f>SUMIFS(ejec_ICPA!E:E,ejec_ICPA!B:B,vigencia!A10,ejec_ICPA!A:A,vigencia!E10)</f>
        <v>0</v>
      </c>
      <c r="I10" s="268">
        <f>SUMIFS(ejec_ICPA!F:F,ejec_ICPA!B:B,vigencia!A10,ejec_ICPA!A:A,vigencia!E10)</f>
        <v>0</v>
      </c>
      <c r="J10" s="268">
        <f>SUMIFS(ejec_ICPA!G:G,ejec_ICPA!B:B,vigencia!A10,ejec_ICPA!A:A,vigencia!E10)</f>
        <v>0</v>
      </c>
      <c r="K10" s="268">
        <f>SUMIFS(ejec_ICPA!H:H,ejec_ICPA!B:B,vigencia!A10,ejec_ICPA!A:A,vigencia!E10)</f>
        <v>0</v>
      </c>
      <c r="L10" s="268">
        <f t="shared" si="33"/>
        <v>86363745</v>
      </c>
      <c r="M10" s="268">
        <f>SUMIFS(ejec_ICPA!K:K,ejec_ICPA!B:B,vigencia!A10,ejec_ICPA!A:A,vigencia!E10)</f>
        <v>77827488</v>
      </c>
      <c r="N10" s="268">
        <f>SUMIFS(ejec_ICPA!L:L,ejec_ICPA!B:B,vigencia!A10,ejec_ICPA!A:A,vigencia!E10)</f>
        <v>77827488</v>
      </c>
      <c r="O10" s="268">
        <f>SUMIFS(ejec_ICPA!J:J,ejec_ICPA!B:B,vigencia!A10,ejec_ICPA!A:A,vigencia!E10)</f>
        <v>77827488</v>
      </c>
      <c r="P10" s="268">
        <f>SUMIFS(ejec_ICPA!M:M,ejec_ICPA!B:B,vigencia!A10,ejec_ICPA!A:A,vigencia!E10)</f>
        <v>77816948</v>
      </c>
      <c r="Q10" s="269">
        <f t="shared" si="34"/>
        <v>8536257</v>
      </c>
      <c r="R10" s="270">
        <f t="shared" si="8"/>
        <v>0.90115925380493866</v>
      </c>
      <c r="S10" s="271">
        <f t="shared" si="9"/>
        <v>0.90103721185319141</v>
      </c>
      <c r="T10" s="268">
        <f>SUMIFS(ejec_ICPA!N:N,ejec_ICPA!B:B,vigencia!A10,ejec_ICPA!A:A,vigencia!E10)</f>
        <v>784705</v>
      </c>
      <c r="U10" s="268">
        <f>SUMIFS(ejec_ICPA!O:O,ejec_ICPA!B:B,vigencia!A10,ejec_ICPA!A:A,vigencia!E10)</f>
        <v>784705</v>
      </c>
      <c r="V10" s="268">
        <f>SUMIFS(ejec_ICPA!P:P,ejec_ICPA!B:B,vigencia!A10,ejec_ICPA!A:A,vigencia!E10)</f>
        <v>784705</v>
      </c>
      <c r="W10" s="268">
        <f>SUMIFS(ejec_ICPA!Q:Q,ejec_ICPA!B:B,vigencia!A10,ejec_ICPA!A:A,vigencia!E10)</f>
        <v>1069137</v>
      </c>
      <c r="X10" s="272">
        <f t="shared" si="35"/>
        <v>0</v>
      </c>
      <c r="Y10" s="272">
        <f t="shared" si="36"/>
        <v>0</v>
      </c>
      <c r="Z10" s="272">
        <f t="shared" si="37"/>
        <v>10540</v>
      </c>
    </row>
    <row r="11" spans="1:26" x14ac:dyDescent="0.25">
      <c r="A11" s="264" t="s">
        <v>535</v>
      </c>
      <c r="B11" s="265">
        <v>999999</v>
      </c>
      <c r="C11" s="266"/>
      <c r="D11" s="267" t="s">
        <v>740</v>
      </c>
      <c r="E11" s="264" t="s">
        <v>536</v>
      </c>
      <c r="F11" s="315" t="s">
        <v>217</v>
      </c>
      <c r="G11" s="268">
        <f>SUMIFS(ejec_ICPA!D:D,ejec_ICPA!B:B,vigencia!A11,ejec_ICPA!A:A,vigencia!E11)</f>
        <v>273073936</v>
      </c>
      <c r="H11" s="268">
        <f>SUMIFS(ejec_ICPA!E:E,ejec_ICPA!B:B,vigencia!A11,ejec_ICPA!A:A,vigencia!E11)</f>
        <v>0</v>
      </c>
      <c r="I11" s="268">
        <f>SUMIFS(ejec_ICPA!F:F,ejec_ICPA!B:B,vigencia!A11,ejec_ICPA!A:A,vigencia!E11)</f>
        <v>0</v>
      </c>
      <c r="J11" s="268">
        <f>SUMIFS(ejec_ICPA!G:G,ejec_ICPA!B:B,vigencia!A11,ejec_ICPA!A:A,vigencia!E11)</f>
        <v>0</v>
      </c>
      <c r="K11" s="268">
        <f>SUMIFS(ejec_ICPA!H:H,ejec_ICPA!B:B,vigencia!A11,ejec_ICPA!A:A,vigencia!E11)</f>
        <v>0</v>
      </c>
      <c r="L11" s="268">
        <f t="shared" si="33"/>
        <v>273073936</v>
      </c>
      <c r="M11" s="268">
        <f>SUMIFS(ejec_ICPA!K:K,ejec_ICPA!B:B,vigencia!A11,ejec_ICPA!A:A,vigencia!E11)</f>
        <v>251001407</v>
      </c>
      <c r="N11" s="268">
        <f>SUMIFS(ejec_ICPA!L:L,ejec_ICPA!B:B,vigencia!A11,ejec_ICPA!A:A,vigencia!E11)</f>
        <v>251001407</v>
      </c>
      <c r="O11" s="268">
        <f>SUMIFS(ejec_ICPA!J:J,ejec_ICPA!B:B,vigencia!A11,ejec_ICPA!A:A,vigencia!E11)</f>
        <v>251001407</v>
      </c>
      <c r="P11" s="268">
        <f>SUMIFS(ejec_ICPA!M:M,ejec_ICPA!B:B,vigencia!A11,ejec_ICPA!A:A,vigencia!E11)</f>
        <v>250983298</v>
      </c>
      <c r="Q11" s="269">
        <f t="shared" si="34"/>
        <v>22072529</v>
      </c>
      <c r="R11" s="270">
        <f t="shared" si="8"/>
        <v>0.91917013639851741</v>
      </c>
      <c r="S11" s="271">
        <f t="shared" si="9"/>
        <v>0.91910382102523325</v>
      </c>
      <c r="T11" s="268">
        <f>SUMIFS(ejec_ICPA!N:N,ejec_ICPA!B:B,vigencia!A11,ejec_ICPA!A:A,vigencia!E11)</f>
        <v>244925542</v>
      </c>
      <c r="U11" s="268">
        <f>SUMIFS(ejec_ICPA!O:O,ejec_ICPA!B:B,vigencia!A11,ejec_ICPA!A:A,vigencia!E11)</f>
        <v>244925542</v>
      </c>
      <c r="V11" s="268">
        <f>SUMIFS(ejec_ICPA!P:P,ejec_ICPA!B:B,vigencia!A11,ejec_ICPA!A:A,vigencia!E11)</f>
        <v>244925542</v>
      </c>
      <c r="W11" s="268">
        <f>SUMIFS(ejec_ICPA!Q:Q,ejec_ICPA!B:B,vigencia!A11,ejec_ICPA!A:A,vigencia!E11)</f>
        <v>249142991</v>
      </c>
      <c r="X11" s="272">
        <f t="shared" si="35"/>
        <v>0</v>
      </c>
      <c r="Y11" s="272">
        <f t="shared" si="36"/>
        <v>0</v>
      </c>
      <c r="Z11" s="272">
        <f t="shared" si="37"/>
        <v>18109</v>
      </c>
    </row>
    <row r="12" spans="1:26" x14ac:dyDescent="0.25">
      <c r="A12" s="264" t="s">
        <v>537</v>
      </c>
      <c r="B12" s="265">
        <v>999999</v>
      </c>
      <c r="C12" s="266"/>
      <c r="D12" s="267" t="s">
        <v>741</v>
      </c>
      <c r="E12" s="264" t="s">
        <v>538</v>
      </c>
      <c r="F12" s="315" t="s">
        <v>217</v>
      </c>
      <c r="G12" s="268">
        <f>SUMIFS(ejec_ICPA!D:D,ejec_ICPA!B:B,vigencia!A12,ejec_ICPA!A:A,vigencia!E12)</f>
        <v>153771113</v>
      </c>
      <c r="H12" s="268">
        <f>SUMIFS(ejec_ICPA!E:E,ejec_ICPA!B:B,vigencia!A12,ejec_ICPA!A:A,vigencia!E12)</f>
        <v>0</v>
      </c>
      <c r="I12" s="268">
        <f>SUMIFS(ejec_ICPA!F:F,ejec_ICPA!B:B,vigencia!A12,ejec_ICPA!A:A,vigencia!E12)</f>
        <v>0</v>
      </c>
      <c r="J12" s="268">
        <f>SUMIFS(ejec_ICPA!G:G,ejec_ICPA!B:B,vigencia!A12,ejec_ICPA!A:A,vigencia!E12)</f>
        <v>0</v>
      </c>
      <c r="K12" s="268">
        <f>SUMIFS(ejec_ICPA!H:H,ejec_ICPA!B:B,vigencia!A12,ejec_ICPA!A:A,vigencia!E12)</f>
        <v>0</v>
      </c>
      <c r="L12" s="268">
        <f t="shared" si="33"/>
        <v>153771113</v>
      </c>
      <c r="M12" s="268">
        <f>SUMIFS(ejec_ICPA!K:K,ejec_ICPA!B:B,vigencia!A12,ejec_ICPA!A:A,vigencia!E12)</f>
        <v>125956486</v>
      </c>
      <c r="N12" s="268">
        <f>SUMIFS(ejec_ICPA!L:L,ejec_ICPA!B:B,vigencia!A12,ejec_ICPA!A:A,vigencia!E12)</f>
        <v>125956486</v>
      </c>
      <c r="O12" s="268">
        <f>SUMIFS(ejec_ICPA!J:J,ejec_ICPA!B:B,vigencia!A12,ejec_ICPA!A:A,vigencia!E12)</f>
        <v>125956486</v>
      </c>
      <c r="P12" s="268">
        <f>SUMIFS(ejec_ICPA!M:M,ejec_ICPA!B:B,vigencia!A12,ejec_ICPA!A:A,vigencia!E12)</f>
        <v>125941428</v>
      </c>
      <c r="Q12" s="269">
        <f t="shared" si="34"/>
        <v>27814627</v>
      </c>
      <c r="R12" s="270">
        <f t="shared" si="8"/>
        <v>0.8191166958647168</v>
      </c>
      <c r="S12" s="271">
        <f t="shared" si="9"/>
        <v>0.81901877110039512</v>
      </c>
      <c r="T12" s="268">
        <f>SUMIFS(ejec_ICPA!N:N,ejec_ICPA!B:B,vigencia!A12,ejec_ICPA!A:A,vigencia!E12)</f>
        <v>13660874</v>
      </c>
      <c r="U12" s="268">
        <f>SUMIFS(ejec_ICPA!O:O,ejec_ICPA!B:B,vigencia!A12,ejec_ICPA!A:A,vigencia!E12)</f>
        <v>13660874</v>
      </c>
      <c r="V12" s="268">
        <f>SUMIFS(ejec_ICPA!P:P,ejec_ICPA!B:B,vigencia!A12,ejec_ICPA!A:A,vigencia!E12)</f>
        <v>13660874</v>
      </c>
      <c r="W12" s="268">
        <f>SUMIFS(ejec_ICPA!Q:Q,ejec_ICPA!B:B,vigencia!A12,ejec_ICPA!A:A,vigencia!E12)</f>
        <v>14097609</v>
      </c>
      <c r="X12" s="272">
        <f t="shared" si="35"/>
        <v>0</v>
      </c>
      <c r="Y12" s="272">
        <f t="shared" si="36"/>
        <v>0</v>
      </c>
      <c r="Z12" s="272">
        <f t="shared" si="37"/>
        <v>15058</v>
      </c>
    </row>
    <row r="13" spans="1:26" x14ac:dyDescent="0.25">
      <c r="A13" s="264" t="s">
        <v>539</v>
      </c>
      <c r="B13" s="265">
        <v>999999</v>
      </c>
      <c r="C13" s="266"/>
      <c r="D13" s="267" t="s">
        <v>742</v>
      </c>
      <c r="E13" s="264" t="s">
        <v>540</v>
      </c>
      <c r="F13" s="315" t="s">
        <v>217</v>
      </c>
      <c r="G13" s="268">
        <f>SUMIFS(ejec_ICPA!D:D,ejec_ICPA!B:B,vigencia!A13,ejec_ICPA!A:A,vigencia!E13)</f>
        <v>388950420</v>
      </c>
      <c r="H13" s="268">
        <f>SUMIFS(ejec_ICPA!E:E,ejec_ICPA!B:B,vigencia!A13,ejec_ICPA!A:A,vigencia!E13)</f>
        <v>0</v>
      </c>
      <c r="I13" s="268">
        <f>SUMIFS(ejec_ICPA!F:F,ejec_ICPA!B:B,vigencia!A13,ejec_ICPA!A:A,vigencia!E13)</f>
        <v>0</v>
      </c>
      <c r="J13" s="268">
        <f>SUMIFS(ejec_ICPA!G:G,ejec_ICPA!B:B,vigencia!A13,ejec_ICPA!A:A,vigencia!E13)</f>
        <v>0</v>
      </c>
      <c r="K13" s="268">
        <f>SUMIFS(ejec_ICPA!H:H,ejec_ICPA!B:B,vigencia!A13,ejec_ICPA!A:A,vigencia!E13)</f>
        <v>0</v>
      </c>
      <c r="L13" s="268">
        <f t="shared" si="33"/>
        <v>388950420</v>
      </c>
      <c r="M13" s="268">
        <f>SUMIFS(ejec_ICPA!K:K,ejec_ICPA!B:B,vigencia!A13,ejec_ICPA!A:A,vigencia!E13)</f>
        <v>335380139</v>
      </c>
      <c r="N13" s="268">
        <f>SUMIFS(ejec_ICPA!L:L,ejec_ICPA!B:B,vigencia!A13,ejec_ICPA!A:A,vigencia!E13)</f>
        <v>335380139</v>
      </c>
      <c r="O13" s="268">
        <f>SUMIFS(ejec_ICPA!J:J,ejec_ICPA!B:B,vigencia!A13,ejec_ICPA!A:A,vigencia!E13)</f>
        <v>335380139</v>
      </c>
      <c r="P13" s="268">
        <f>SUMIFS(ejec_ICPA!M:M,ejec_ICPA!B:B,vigencia!A13,ejec_ICPA!A:A,vigencia!E13)</f>
        <v>335380139</v>
      </c>
      <c r="Q13" s="269">
        <f t="shared" si="34"/>
        <v>53570281</v>
      </c>
      <c r="R13" s="270">
        <f t="shared" si="8"/>
        <v>0.86226964094806735</v>
      </c>
      <c r="S13" s="271">
        <f t="shared" si="9"/>
        <v>0.86226964094806735</v>
      </c>
      <c r="T13" s="268">
        <f>SUMIFS(ejec_ICPA!N:N,ejec_ICPA!B:B,vigencia!A13,ejec_ICPA!A:A,vigencia!E13)</f>
        <v>27188968</v>
      </c>
      <c r="U13" s="268">
        <f>SUMIFS(ejec_ICPA!O:O,ejec_ICPA!B:B,vigencia!A13,ejec_ICPA!A:A,vigencia!E13)</f>
        <v>27188968</v>
      </c>
      <c r="V13" s="268">
        <f>SUMIFS(ejec_ICPA!P:P,ejec_ICPA!B:B,vigencia!A13,ejec_ICPA!A:A,vigencia!E13)</f>
        <v>27188968</v>
      </c>
      <c r="W13" s="268">
        <f>SUMIFS(ejec_ICPA!Q:Q,ejec_ICPA!B:B,vigencia!A13,ejec_ICPA!A:A,vigencia!E13)</f>
        <v>55199068</v>
      </c>
      <c r="X13" s="272">
        <f t="shared" si="35"/>
        <v>0</v>
      </c>
      <c r="Y13" s="272">
        <f t="shared" si="36"/>
        <v>0</v>
      </c>
      <c r="Z13" s="272">
        <f t="shared" si="37"/>
        <v>0</v>
      </c>
    </row>
    <row r="14" spans="1:26" x14ac:dyDescent="0.25">
      <c r="A14" s="264" t="s">
        <v>541</v>
      </c>
      <c r="B14" s="265">
        <v>999999</v>
      </c>
      <c r="C14" s="266"/>
      <c r="D14" s="267" t="s">
        <v>743</v>
      </c>
      <c r="E14" s="264" t="s">
        <v>542</v>
      </c>
      <c r="F14" s="315" t="s">
        <v>217</v>
      </c>
      <c r="G14" s="268">
        <f>SUMIFS(ejec_ICPA!D:D,ejec_ICPA!B:B,vigencia!A14,ejec_ICPA!A:A,vigencia!E14)</f>
        <v>275506548</v>
      </c>
      <c r="H14" s="268">
        <f>SUMIFS(ejec_ICPA!E:E,ejec_ICPA!B:B,vigencia!A14,ejec_ICPA!A:A,vigencia!E14)</f>
        <v>0</v>
      </c>
      <c r="I14" s="268">
        <f>SUMIFS(ejec_ICPA!F:F,ejec_ICPA!B:B,vigencia!A14,ejec_ICPA!A:A,vigencia!E14)</f>
        <v>0</v>
      </c>
      <c r="J14" s="268">
        <f>SUMIFS(ejec_ICPA!G:G,ejec_ICPA!B:B,vigencia!A14,ejec_ICPA!A:A,vigencia!E14)</f>
        <v>0</v>
      </c>
      <c r="K14" s="268">
        <f>SUMIFS(ejec_ICPA!H:H,ejec_ICPA!B:B,vigencia!A14,ejec_ICPA!A:A,vigencia!E14)</f>
        <v>0</v>
      </c>
      <c r="L14" s="268">
        <f t="shared" si="33"/>
        <v>275506548</v>
      </c>
      <c r="M14" s="268">
        <f>SUMIFS(ejec_ICPA!K:K,ejec_ICPA!B:B,vigencia!A14,ejec_ICPA!A:A,vigencia!E14)</f>
        <v>237576175</v>
      </c>
      <c r="N14" s="268">
        <f>SUMIFS(ejec_ICPA!L:L,ejec_ICPA!B:B,vigencia!A14,ejec_ICPA!A:A,vigencia!E14)</f>
        <v>237576175</v>
      </c>
      <c r="O14" s="268">
        <f>SUMIFS(ejec_ICPA!J:J,ejec_ICPA!B:B,vigencia!A14,ejec_ICPA!A:A,vigencia!E14)</f>
        <v>237576175</v>
      </c>
      <c r="P14" s="268">
        <f>SUMIFS(ejec_ICPA!M:M,ejec_ICPA!B:B,vigencia!A14,ejec_ICPA!A:A,vigencia!E14)</f>
        <v>237576175</v>
      </c>
      <c r="Q14" s="269">
        <f t="shared" si="34"/>
        <v>37930373</v>
      </c>
      <c r="R14" s="270">
        <f t="shared" si="8"/>
        <v>0.86232496731801811</v>
      </c>
      <c r="S14" s="271">
        <f t="shared" si="9"/>
        <v>0.86232496731801811</v>
      </c>
      <c r="T14" s="268">
        <f>SUMIFS(ejec_ICPA!N:N,ejec_ICPA!B:B,vigencia!A14,ejec_ICPA!A:A,vigencia!E14)</f>
        <v>19259412</v>
      </c>
      <c r="U14" s="268">
        <f>SUMIFS(ejec_ICPA!O:O,ejec_ICPA!B:B,vigencia!A14,ejec_ICPA!A:A,vigencia!E14)</f>
        <v>19259412</v>
      </c>
      <c r="V14" s="268">
        <f>SUMIFS(ejec_ICPA!P:P,ejec_ICPA!B:B,vigencia!A14,ejec_ICPA!A:A,vigencia!E14)</f>
        <v>19259412</v>
      </c>
      <c r="W14" s="268">
        <f>SUMIFS(ejec_ICPA!Q:Q,ejec_ICPA!B:B,vigencia!A14,ejec_ICPA!A:A,vigencia!E14)</f>
        <v>39100912</v>
      </c>
      <c r="X14" s="272">
        <f t="shared" si="35"/>
        <v>0</v>
      </c>
      <c r="Y14" s="272">
        <f t="shared" si="36"/>
        <v>0</v>
      </c>
      <c r="Z14" s="272">
        <f t="shared" si="37"/>
        <v>0</v>
      </c>
    </row>
    <row r="15" spans="1:26" x14ac:dyDescent="0.25">
      <c r="A15" s="264" t="s">
        <v>543</v>
      </c>
      <c r="B15" s="265">
        <v>999999</v>
      </c>
      <c r="C15" s="266"/>
      <c r="D15" s="267" t="s">
        <v>744</v>
      </c>
      <c r="E15" s="264" t="s">
        <v>544</v>
      </c>
      <c r="F15" s="315" t="s">
        <v>217</v>
      </c>
      <c r="G15" s="268">
        <f>SUMIFS(ejec_ICPA!D:D,ejec_ICPA!B:B,vigencia!A15,ejec_ICPA!A:A,vigencia!E15)</f>
        <v>263138813</v>
      </c>
      <c r="H15" s="268">
        <f>SUMIFS(ejec_ICPA!E:E,ejec_ICPA!B:B,vigencia!A15,ejec_ICPA!A:A,vigencia!E15)</f>
        <v>0</v>
      </c>
      <c r="I15" s="268">
        <f>SUMIFS(ejec_ICPA!F:F,ejec_ICPA!B:B,vigencia!A15,ejec_ICPA!A:A,vigencia!E15)</f>
        <v>0</v>
      </c>
      <c r="J15" s="268">
        <f>SUMIFS(ejec_ICPA!G:G,ejec_ICPA!B:B,vigencia!A15,ejec_ICPA!A:A,vigencia!E15)</f>
        <v>0</v>
      </c>
      <c r="K15" s="268">
        <f>SUMIFS(ejec_ICPA!H:H,ejec_ICPA!B:B,vigencia!A15,ejec_ICPA!A:A,vigencia!E15)</f>
        <v>0</v>
      </c>
      <c r="L15" s="268">
        <f t="shared" si="33"/>
        <v>263138813</v>
      </c>
      <c r="M15" s="268">
        <f>SUMIFS(ejec_ICPA!K:K,ejec_ICPA!B:B,vigencia!A15,ejec_ICPA!A:A,vigencia!E15)</f>
        <v>263138813</v>
      </c>
      <c r="N15" s="268">
        <f>SUMIFS(ejec_ICPA!L:L,ejec_ICPA!B:B,vigencia!A15,ejec_ICPA!A:A,vigencia!E15)</f>
        <v>263138813</v>
      </c>
      <c r="O15" s="268">
        <f>SUMIFS(ejec_ICPA!J:J,ejec_ICPA!B:B,vigencia!A15,ejec_ICPA!A:A,vigencia!E15)</f>
        <v>263138813</v>
      </c>
      <c r="P15" s="268">
        <f>SUMIFS(ejec_ICPA!M:M,ejec_ICPA!B:B,vigencia!A15,ejec_ICPA!A:A,vigencia!E15)</f>
        <v>0</v>
      </c>
      <c r="Q15" s="269">
        <f t="shared" si="34"/>
        <v>0</v>
      </c>
      <c r="R15" s="270">
        <f t="shared" si="8"/>
        <v>1</v>
      </c>
      <c r="S15" s="271">
        <f t="shared" si="9"/>
        <v>0</v>
      </c>
      <c r="T15" s="268">
        <f>SUMIFS(ejec_ICPA!N:N,ejec_ICPA!B:B,vigencia!A15,ejec_ICPA!A:A,vigencia!E15)</f>
        <v>263138813</v>
      </c>
      <c r="U15" s="268">
        <f>SUMIFS(ejec_ICPA!O:O,ejec_ICPA!B:B,vigencia!A15,ejec_ICPA!A:A,vigencia!E15)</f>
        <v>263138813</v>
      </c>
      <c r="V15" s="268">
        <f>SUMIFS(ejec_ICPA!P:P,ejec_ICPA!B:B,vigencia!A15,ejec_ICPA!A:A,vigencia!E15)</f>
        <v>263138813</v>
      </c>
      <c r="W15" s="268">
        <f>SUMIFS(ejec_ICPA!Q:Q,ejec_ICPA!B:B,vigencia!A15,ejec_ICPA!A:A,vigencia!E15)</f>
        <v>0</v>
      </c>
      <c r="X15" s="272">
        <f t="shared" si="35"/>
        <v>0</v>
      </c>
      <c r="Y15" s="272">
        <f t="shared" si="36"/>
        <v>0</v>
      </c>
      <c r="Z15" s="272">
        <f t="shared" si="37"/>
        <v>263138813</v>
      </c>
    </row>
    <row r="16" spans="1:26" x14ac:dyDescent="0.25">
      <c r="A16" s="264" t="s">
        <v>545</v>
      </c>
      <c r="B16" s="265">
        <v>999999</v>
      </c>
      <c r="C16" s="266"/>
      <c r="D16" s="267" t="s">
        <v>745</v>
      </c>
      <c r="E16" s="264" t="s">
        <v>546</v>
      </c>
      <c r="F16" s="315" t="s">
        <v>217</v>
      </c>
      <c r="G16" s="268">
        <f>SUMIFS(ejec_ICPA!D:D,ejec_ICPA!B:B,vigencia!A16,ejec_ICPA!A:A,vigencia!E16)</f>
        <v>139546403</v>
      </c>
      <c r="H16" s="268">
        <f>SUMIFS(ejec_ICPA!E:E,ejec_ICPA!B:B,vigencia!A16,ejec_ICPA!A:A,vigencia!E16)</f>
        <v>0</v>
      </c>
      <c r="I16" s="268">
        <f>SUMIFS(ejec_ICPA!F:F,ejec_ICPA!B:B,vigencia!A16,ejec_ICPA!A:A,vigencia!E16)</f>
        <v>0</v>
      </c>
      <c r="J16" s="268">
        <f>SUMIFS(ejec_ICPA!G:G,ejec_ICPA!B:B,vigencia!A16,ejec_ICPA!A:A,vigencia!E16)</f>
        <v>0</v>
      </c>
      <c r="K16" s="268">
        <f>SUMIFS(ejec_ICPA!H:H,ejec_ICPA!B:B,vigencia!A16,ejec_ICPA!A:A,vigencia!E16)</f>
        <v>0</v>
      </c>
      <c r="L16" s="268">
        <f t="shared" si="33"/>
        <v>139546403</v>
      </c>
      <c r="M16" s="268">
        <f>SUMIFS(ejec_ICPA!K:K,ejec_ICPA!B:B,vigencia!A16,ejec_ICPA!A:A,vigencia!E16)</f>
        <v>120732700</v>
      </c>
      <c r="N16" s="268">
        <f>SUMIFS(ejec_ICPA!L:L,ejec_ICPA!B:B,vigencia!A16,ejec_ICPA!A:A,vigencia!E16)</f>
        <v>120732700</v>
      </c>
      <c r="O16" s="268">
        <f>SUMIFS(ejec_ICPA!J:J,ejec_ICPA!B:B,vigencia!A16,ejec_ICPA!A:A,vigencia!E16)</f>
        <v>120732700</v>
      </c>
      <c r="P16" s="268">
        <f>SUMIFS(ejec_ICPA!M:M,ejec_ICPA!B:B,vigencia!A16,ejec_ICPA!A:A,vigencia!E16)</f>
        <v>120732700</v>
      </c>
      <c r="Q16" s="269">
        <f t="shared" si="34"/>
        <v>18813703</v>
      </c>
      <c r="R16" s="270">
        <f t="shared" si="8"/>
        <v>0.86517959190965321</v>
      </c>
      <c r="S16" s="271">
        <f t="shared" si="9"/>
        <v>0.86517959190965321</v>
      </c>
      <c r="T16" s="268">
        <f>SUMIFS(ejec_ICPA!N:N,ejec_ICPA!B:B,vigencia!A16,ejec_ICPA!A:A,vigencia!E16)</f>
        <v>9525000</v>
      </c>
      <c r="U16" s="268">
        <f>SUMIFS(ejec_ICPA!O:O,ejec_ICPA!B:B,vigencia!A16,ejec_ICPA!A:A,vigencia!E16)</f>
        <v>9525000</v>
      </c>
      <c r="V16" s="268">
        <f>SUMIFS(ejec_ICPA!P:P,ejec_ICPA!B:B,vigencia!A16,ejec_ICPA!A:A,vigencia!E16)</f>
        <v>9525000</v>
      </c>
      <c r="W16" s="268">
        <f>SUMIFS(ejec_ICPA!Q:Q,ejec_ICPA!B:B,vigencia!A16,ejec_ICPA!A:A,vigencia!E16)</f>
        <v>19306800</v>
      </c>
      <c r="X16" s="272">
        <f t="shared" si="35"/>
        <v>0</v>
      </c>
      <c r="Y16" s="272">
        <f t="shared" si="36"/>
        <v>0</v>
      </c>
      <c r="Z16" s="272">
        <f t="shared" si="37"/>
        <v>0</v>
      </c>
    </row>
    <row r="17" spans="1:26" x14ac:dyDescent="0.25">
      <c r="A17" s="264" t="s">
        <v>547</v>
      </c>
      <c r="B17" s="265">
        <v>999999</v>
      </c>
      <c r="C17" s="266"/>
      <c r="D17" s="267" t="s">
        <v>746</v>
      </c>
      <c r="E17" s="264" t="s">
        <v>548</v>
      </c>
      <c r="F17" s="315" t="s">
        <v>217</v>
      </c>
      <c r="G17" s="268">
        <f>SUMIFS(ejec_ICPA!D:D,ejec_ICPA!B:B,vigencia!A17,ejec_ICPA!A:A,vigencia!E17)</f>
        <v>78956935</v>
      </c>
      <c r="H17" s="268">
        <f>SUMIFS(ejec_ICPA!E:E,ejec_ICPA!B:B,vigencia!A17,ejec_ICPA!A:A,vigencia!E17)</f>
        <v>0</v>
      </c>
      <c r="I17" s="268">
        <f>SUMIFS(ejec_ICPA!F:F,ejec_ICPA!B:B,vigencia!A17,ejec_ICPA!A:A,vigencia!E17)</f>
        <v>0</v>
      </c>
      <c r="J17" s="268">
        <f>SUMIFS(ejec_ICPA!G:G,ejec_ICPA!B:B,vigencia!A17,ejec_ICPA!A:A,vigencia!E17)</f>
        <v>0</v>
      </c>
      <c r="K17" s="268">
        <f>SUMIFS(ejec_ICPA!H:H,ejec_ICPA!B:B,vigencia!A17,ejec_ICPA!A:A,vigencia!E17)</f>
        <v>0</v>
      </c>
      <c r="L17" s="268">
        <f t="shared" si="33"/>
        <v>78956935</v>
      </c>
      <c r="M17" s="268">
        <f>SUMIFS(ejec_ICPA!K:K,ejec_ICPA!B:B,vigencia!A17,ejec_ICPA!A:A,vigencia!E17)</f>
        <v>62620000</v>
      </c>
      <c r="N17" s="268">
        <f>SUMIFS(ejec_ICPA!L:L,ejec_ICPA!B:B,vigencia!A17,ejec_ICPA!A:A,vigencia!E17)</f>
        <v>62620000</v>
      </c>
      <c r="O17" s="268">
        <f>SUMIFS(ejec_ICPA!J:J,ejec_ICPA!B:B,vigencia!A17,ejec_ICPA!A:A,vigencia!E17)</f>
        <v>62620000</v>
      </c>
      <c r="P17" s="268">
        <f>SUMIFS(ejec_ICPA!M:M,ejec_ICPA!B:B,vigencia!A17,ejec_ICPA!A:A,vigencia!E17)</f>
        <v>62620000</v>
      </c>
      <c r="Q17" s="269">
        <f t="shared" si="34"/>
        <v>16336935</v>
      </c>
      <c r="R17" s="270">
        <f t="shared" si="8"/>
        <v>0.79309056259592647</v>
      </c>
      <c r="S17" s="271">
        <f t="shared" si="9"/>
        <v>0.79309056259592647</v>
      </c>
      <c r="T17" s="268">
        <f>SUMIFS(ejec_ICPA!N:N,ejec_ICPA!B:B,vigencia!A17,ejec_ICPA!A:A,vigencia!E17)</f>
        <v>4812700</v>
      </c>
      <c r="U17" s="268">
        <f>SUMIFS(ejec_ICPA!O:O,ejec_ICPA!B:B,vigencia!A17,ejec_ICPA!A:A,vigencia!E17)</f>
        <v>4812700</v>
      </c>
      <c r="V17" s="268">
        <f>SUMIFS(ejec_ICPA!P:P,ejec_ICPA!B:B,vigencia!A17,ejec_ICPA!A:A,vigencia!E17)</f>
        <v>4812700</v>
      </c>
      <c r="W17" s="268">
        <f>SUMIFS(ejec_ICPA!Q:Q,ejec_ICPA!B:B,vigencia!A17,ejec_ICPA!A:A,vigencia!E17)</f>
        <v>10018000</v>
      </c>
      <c r="X17" s="272">
        <f t="shared" si="35"/>
        <v>0</v>
      </c>
      <c r="Y17" s="272">
        <f t="shared" si="36"/>
        <v>0</v>
      </c>
      <c r="Z17" s="272">
        <f t="shared" si="37"/>
        <v>0</v>
      </c>
    </row>
    <row r="18" spans="1:26" x14ac:dyDescent="0.25">
      <c r="A18" s="264" t="s">
        <v>549</v>
      </c>
      <c r="B18" s="265">
        <v>999999</v>
      </c>
      <c r="C18" s="273"/>
      <c r="D18" s="267" t="s">
        <v>747</v>
      </c>
      <c r="E18" s="264" t="s">
        <v>550</v>
      </c>
      <c r="F18" s="315" t="s">
        <v>217</v>
      </c>
      <c r="G18" s="268">
        <f>SUMIFS(ejec_ICPA!D:D,ejec_ICPA!B:B,vigencia!A18,ejec_ICPA!A:A,vigencia!E18)</f>
        <v>104659802</v>
      </c>
      <c r="H18" s="268">
        <f>SUMIFS(ejec_ICPA!E:E,ejec_ICPA!B:B,vigencia!A18,ejec_ICPA!A:A,vigencia!E18)</f>
        <v>0</v>
      </c>
      <c r="I18" s="268">
        <f>SUMIFS(ejec_ICPA!F:F,ejec_ICPA!B:B,vigencia!A18,ejec_ICPA!A:A,vigencia!E18)</f>
        <v>0</v>
      </c>
      <c r="J18" s="268">
        <f>SUMIFS(ejec_ICPA!G:G,ejec_ICPA!B:B,vigencia!A18,ejec_ICPA!A:A,vigencia!E18)</f>
        <v>0</v>
      </c>
      <c r="K18" s="268">
        <f>SUMIFS(ejec_ICPA!H:H,ejec_ICPA!B:B,vigencia!A18,ejec_ICPA!A:A,vigencia!E18)</f>
        <v>0</v>
      </c>
      <c r="L18" s="268">
        <f t="shared" si="33"/>
        <v>104659802</v>
      </c>
      <c r="M18" s="268">
        <f>SUMIFS(ejec_ICPA!K:K,ejec_ICPA!B:B,vigencia!A18,ejec_ICPA!A:A,vigencia!E18)</f>
        <v>90562200</v>
      </c>
      <c r="N18" s="268">
        <f>SUMIFS(ejec_ICPA!L:L,ejec_ICPA!B:B,vigencia!A18,ejec_ICPA!A:A,vigencia!E18)</f>
        <v>90562200</v>
      </c>
      <c r="O18" s="268">
        <f>SUMIFS(ejec_ICPA!J:J,ejec_ICPA!B:B,vigencia!A18,ejec_ICPA!A:A,vigencia!E18)</f>
        <v>90562200</v>
      </c>
      <c r="P18" s="268">
        <f>SUMIFS(ejec_ICPA!M:M,ejec_ICPA!B:B,vigencia!A18,ejec_ICPA!A:A,vigencia!E18)</f>
        <v>90562200</v>
      </c>
      <c r="Q18" s="269">
        <f t="shared" si="34"/>
        <v>14097602</v>
      </c>
      <c r="R18" s="270">
        <f t="shared" si="8"/>
        <v>0.86530070064531561</v>
      </c>
      <c r="S18" s="271">
        <f t="shared" si="9"/>
        <v>0.86530070064531561</v>
      </c>
      <c r="T18" s="268">
        <f>SUMIFS(ejec_ICPA!N:N,ejec_ICPA!B:B,vigencia!A18,ejec_ICPA!A:A,vigencia!E18)</f>
        <v>7146000</v>
      </c>
      <c r="U18" s="268">
        <f>SUMIFS(ejec_ICPA!O:O,ejec_ICPA!B:B,vigencia!A18,ejec_ICPA!A:A,vigencia!E18)</f>
        <v>7146000</v>
      </c>
      <c r="V18" s="268">
        <f>SUMIFS(ejec_ICPA!P:P,ejec_ICPA!B:B,vigencia!A18,ejec_ICPA!A:A,vigencia!E18)</f>
        <v>7146000</v>
      </c>
      <c r="W18" s="268">
        <f>SUMIFS(ejec_ICPA!Q:Q,ejec_ICPA!B:B,vigencia!A18,ejec_ICPA!A:A,vigencia!E18)</f>
        <v>14482400</v>
      </c>
      <c r="X18" s="272">
        <f t="shared" si="35"/>
        <v>0</v>
      </c>
      <c r="Y18" s="272">
        <f t="shared" si="36"/>
        <v>0</v>
      </c>
      <c r="Z18" s="272">
        <f t="shared" si="37"/>
        <v>0</v>
      </c>
    </row>
    <row r="19" spans="1:26" x14ac:dyDescent="0.25">
      <c r="A19" s="264" t="s">
        <v>551</v>
      </c>
      <c r="B19" s="265">
        <v>999999</v>
      </c>
      <c r="C19" s="266"/>
      <c r="D19" s="267" t="s">
        <v>748</v>
      </c>
      <c r="E19" s="264" t="s">
        <v>552</v>
      </c>
      <c r="F19" s="315" t="s">
        <v>217</v>
      </c>
      <c r="G19" s="268">
        <f>SUMIFS(ejec_ICPA!D:D,ejec_ICPA!B:B,vigencia!A19,ejec_ICPA!A:A,vigencia!E19)</f>
        <v>69773202</v>
      </c>
      <c r="H19" s="268">
        <f>SUMIFS(ejec_ICPA!E:E,ejec_ICPA!B:B,vigencia!A19,ejec_ICPA!A:A,vigencia!E19)</f>
        <v>0</v>
      </c>
      <c r="I19" s="268">
        <f>SUMIFS(ejec_ICPA!F:F,ejec_ICPA!B:B,vigencia!A19,ejec_ICPA!A:A,vigencia!E19)</f>
        <v>0</v>
      </c>
      <c r="J19" s="268">
        <f>SUMIFS(ejec_ICPA!G:G,ejec_ICPA!B:B,vigencia!A19,ejec_ICPA!A:A,vigencia!E19)</f>
        <v>0</v>
      </c>
      <c r="K19" s="268">
        <f>SUMIFS(ejec_ICPA!H:H,ejec_ICPA!B:B,vigencia!A19,ejec_ICPA!A:A,vigencia!E19)</f>
        <v>0</v>
      </c>
      <c r="L19" s="268">
        <f t="shared" si="33"/>
        <v>69773202</v>
      </c>
      <c r="M19" s="268">
        <f>SUMIFS(ejec_ICPA!K:K,ejec_ICPA!B:B,vigencia!A19,ejec_ICPA!A:A,vigencia!E19)</f>
        <v>60385100</v>
      </c>
      <c r="N19" s="268">
        <f>SUMIFS(ejec_ICPA!L:L,ejec_ICPA!B:B,vigencia!A19,ejec_ICPA!A:A,vigencia!E19)</f>
        <v>60385100</v>
      </c>
      <c r="O19" s="268">
        <f>SUMIFS(ejec_ICPA!J:J,ejec_ICPA!B:B,vigencia!A19,ejec_ICPA!A:A,vigencia!E19)</f>
        <v>60385100</v>
      </c>
      <c r="P19" s="268">
        <f>SUMIFS(ejec_ICPA!M:M,ejec_ICPA!B:B,vigencia!A19,ejec_ICPA!A:A,vigencia!E19)</f>
        <v>60385100</v>
      </c>
      <c r="Q19" s="269">
        <f t="shared" si="34"/>
        <v>9388102</v>
      </c>
      <c r="R19" s="270">
        <f t="shared" si="8"/>
        <v>0.86544831352300555</v>
      </c>
      <c r="S19" s="271">
        <f t="shared" si="9"/>
        <v>0.86544831352300555</v>
      </c>
      <c r="T19" s="268">
        <f>SUMIFS(ejec_ICPA!N:N,ejec_ICPA!B:B,vigencia!A19,ejec_ICPA!A:A,vigencia!E19)</f>
        <v>4765400</v>
      </c>
      <c r="U19" s="268">
        <f>SUMIFS(ejec_ICPA!O:O,ejec_ICPA!B:B,vigencia!A19,ejec_ICPA!A:A,vigencia!E19)</f>
        <v>4765400</v>
      </c>
      <c r="V19" s="268">
        <f>SUMIFS(ejec_ICPA!P:P,ejec_ICPA!B:B,vigencia!A19,ejec_ICPA!A:A,vigencia!E19)</f>
        <v>4765400</v>
      </c>
      <c r="W19" s="268">
        <f>SUMIFS(ejec_ICPA!Q:Q,ejec_ICPA!B:B,vigencia!A19,ejec_ICPA!A:A,vigencia!E19)</f>
        <v>9658200</v>
      </c>
      <c r="X19" s="272">
        <f t="shared" si="35"/>
        <v>0</v>
      </c>
      <c r="Y19" s="272">
        <f t="shared" si="36"/>
        <v>0</v>
      </c>
      <c r="Z19" s="272">
        <f t="shared" si="37"/>
        <v>0</v>
      </c>
    </row>
    <row r="20" spans="1:26" x14ac:dyDescent="0.25">
      <c r="A20" s="264" t="s">
        <v>553</v>
      </c>
      <c r="B20" s="265">
        <v>999999</v>
      </c>
      <c r="C20" s="266"/>
      <c r="D20" s="267" t="s">
        <v>749</v>
      </c>
      <c r="E20" s="264" t="s">
        <v>554</v>
      </c>
      <c r="F20" s="315" t="s">
        <v>217</v>
      </c>
      <c r="G20" s="268">
        <f>SUMIFS(ejec_ICPA!D:D,ejec_ICPA!B:B,vigencia!A20,ejec_ICPA!A:A,vigencia!E20)</f>
        <v>174462375</v>
      </c>
      <c r="H20" s="268">
        <f>SUMIFS(ejec_ICPA!E:E,ejec_ICPA!B:B,vigencia!A20,ejec_ICPA!A:A,vigencia!E20)</f>
        <v>0</v>
      </c>
      <c r="I20" s="268">
        <f>SUMIFS(ejec_ICPA!F:F,ejec_ICPA!B:B,vigencia!A20,ejec_ICPA!A:A,vigencia!E20)</f>
        <v>0</v>
      </c>
      <c r="J20" s="268">
        <f>SUMIFS(ejec_ICPA!G:G,ejec_ICPA!B:B,vigencia!A20,ejec_ICPA!A:A,vigencia!E20)</f>
        <v>0</v>
      </c>
      <c r="K20" s="268">
        <f>SUMIFS(ejec_ICPA!H:H,ejec_ICPA!B:B,vigencia!A20,ejec_ICPA!A:A,vigencia!E20)</f>
        <v>0</v>
      </c>
      <c r="L20" s="268">
        <f t="shared" si="33"/>
        <v>174462375</v>
      </c>
      <c r="M20" s="268">
        <f>SUMIFS(ejec_ICPA!K:K,ejec_ICPA!B:B,vigencia!A20,ejec_ICPA!A:A,vigencia!E20)</f>
        <v>170098212</v>
      </c>
      <c r="N20" s="268">
        <f>SUMIFS(ejec_ICPA!L:L,ejec_ICPA!B:B,vigencia!A20,ejec_ICPA!A:A,vigencia!E20)</f>
        <v>170098212</v>
      </c>
      <c r="O20" s="268">
        <f>SUMIFS(ejec_ICPA!J:J,ejec_ICPA!B:B,vigencia!A20,ejec_ICPA!A:A,vigencia!E20)</f>
        <v>170098212</v>
      </c>
      <c r="P20" s="268">
        <f>SUMIFS(ejec_ICPA!M:M,ejec_ICPA!B:B,vigencia!A20,ejec_ICPA!A:A,vigencia!E20)</f>
        <v>170074886</v>
      </c>
      <c r="Q20" s="269">
        <f t="shared" si="34"/>
        <v>4364163</v>
      </c>
      <c r="R20" s="270">
        <f t="shared" si="8"/>
        <v>0.97498507629510378</v>
      </c>
      <c r="S20" s="271">
        <f t="shared" si="9"/>
        <v>0.97485137411433265</v>
      </c>
      <c r="T20" s="268">
        <f>SUMIFS(ejec_ICPA!N:N,ejec_ICPA!B:B,vigencia!A20,ejec_ICPA!A:A,vigencia!E20)</f>
        <v>10660364</v>
      </c>
      <c r="U20" s="268">
        <f>SUMIFS(ejec_ICPA!O:O,ejec_ICPA!B:B,vigencia!A20,ejec_ICPA!A:A,vigencia!E20)</f>
        <v>10660364</v>
      </c>
      <c r="V20" s="268">
        <f>SUMIFS(ejec_ICPA!P:P,ejec_ICPA!B:B,vigencia!A20,ejec_ICPA!A:A,vigencia!E20)</f>
        <v>10660364</v>
      </c>
      <c r="W20" s="268">
        <f>SUMIFS(ejec_ICPA!Q:Q,ejec_ICPA!B:B,vigencia!A20,ejec_ICPA!A:A,vigencia!E20)</f>
        <v>11450265</v>
      </c>
      <c r="X20" s="272">
        <f t="shared" si="35"/>
        <v>0</v>
      </c>
      <c r="Y20" s="272">
        <f t="shared" si="36"/>
        <v>0</v>
      </c>
      <c r="Z20" s="272">
        <f t="shared" si="37"/>
        <v>23326</v>
      </c>
    </row>
    <row r="21" spans="1:26" x14ac:dyDescent="0.25">
      <c r="A21" s="264" t="s">
        <v>555</v>
      </c>
      <c r="B21" s="265">
        <v>999999</v>
      </c>
      <c r="C21" s="266"/>
      <c r="D21" s="267" t="s">
        <v>750</v>
      </c>
      <c r="E21" s="264" t="s">
        <v>556</v>
      </c>
      <c r="F21" s="315" t="s">
        <v>217</v>
      </c>
      <c r="G21" s="268">
        <f>SUMIFS(ejec_ICPA!D:D,ejec_ICPA!B:B,vigencia!A21,ejec_ICPA!A:A,vigencia!E21)</f>
        <v>7000000</v>
      </c>
      <c r="H21" s="268">
        <f>SUMIFS(ejec_ICPA!E:E,ejec_ICPA!B:B,vigencia!A21,ejec_ICPA!A:A,vigencia!E21)</f>
        <v>0</v>
      </c>
      <c r="I21" s="268">
        <f>SUMIFS(ejec_ICPA!F:F,ejec_ICPA!B:B,vigencia!A21,ejec_ICPA!A:A,vigencia!E21)</f>
        <v>0</v>
      </c>
      <c r="J21" s="268">
        <f>SUMIFS(ejec_ICPA!G:G,ejec_ICPA!B:B,vigencia!A21,ejec_ICPA!A:A,vigencia!E21)</f>
        <v>0</v>
      </c>
      <c r="K21" s="268">
        <f>SUMIFS(ejec_ICPA!H:H,ejec_ICPA!B:B,vigencia!A21,ejec_ICPA!A:A,vigencia!E21)</f>
        <v>0</v>
      </c>
      <c r="L21" s="268">
        <f t="shared" si="33"/>
        <v>7000000</v>
      </c>
      <c r="M21" s="268">
        <f>SUMIFS(ejec_ICPA!K:K,ejec_ICPA!B:B,vigencia!A21,ejec_ICPA!A:A,vigencia!E21)</f>
        <v>0</v>
      </c>
      <c r="N21" s="268">
        <f>SUMIFS(ejec_ICPA!L:L,ejec_ICPA!B:B,vigencia!A21,ejec_ICPA!A:A,vigencia!E21)</f>
        <v>0</v>
      </c>
      <c r="O21" s="268">
        <f>SUMIFS(ejec_ICPA!J:J,ejec_ICPA!B:B,vigencia!A21,ejec_ICPA!A:A,vigencia!E21)</f>
        <v>0</v>
      </c>
      <c r="P21" s="268">
        <f>SUMIFS(ejec_ICPA!M:M,ejec_ICPA!B:B,vigencia!A21,ejec_ICPA!A:A,vigencia!E21)</f>
        <v>0</v>
      </c>
      <c r="Q21" s="269">
        <f t="shared" si="34"/>
        <v>7000000</v>
      </c>
      <c r="R21" s="270">
        <f t="shared" si="8"/>
        <v>0</v>
      </c>
      <c r="S21" s="271">
        <f t="shared" si="9"/>
        <v>0</v>
      </c>
      <c r="T21" s="268">
        <f>SUMIFS(ejec_ICPA!N:N,ejec_ICPA!B:B,vigencia!A21,ejec_ICPA!A:A,vigencia!E21)</f>
        <v>0</v>
      </c>
      <c r="U21" s="268">
        <f>SUMIFS(ejec_ICPA!O:O,ejec_ICPA!B:B,vigencia!A21,ejec_ICPA!A:A,vigencia!E21)</f>
        <v>0</v>
      </c>
      <c r="V21" s="268">
        <f>SUMIFS(ejec_ICPA!P:P,ejec_ICPA!B:B,vigencia!A21,ejec_ICPA!A:A,vigencia!E21)</f>
        <v>0</v>
      </c>
      <c r="W21" s="268">
        <f>SUMIFS(ejec_ICPA!Q:Q,ejec_ICPA!B:B,vigencia!A21,ejec_ICPA!A:A,vigencia!E21)</f>
        <v>0</v>
      </c>
      <c r="X21" s="272">
        <f t="shared" si="35"/>
        <v>0</v>
      </c>
      <c r="Y21" s="272">
        <f t="shared" si="36"/>
        <v>0</v>
      </c>
      <c r="Z21" s="272">
        <f t="shared" si="37"/>
        <v>0</v>
      </c>
    </row>
    <row r="22" spans="1:26" x14ac:dyDescent="0.25">
      <c r="A22" s="264" t="s">
        <v>557</v>
      </c>
      <c r="B22" s="265">
        <v>999999</v>
      </c>
      <c r="C22" s="266"/>
      <c r="D22" s="267" t="s">
        <v>751</v>
      </c>
      <c r="E22" s="264" t="s">
        <v>558</v>
      </c>
      <c r="F22" s="315" t="s">
        <v>217</v>
      </c>
      <c r="G22" s="268">
        <f>SUMIFS(ejec_ICPA!D:D,ejec_ICPA!B:B,vigencia!A22,ejec_ICPA!A:A,vigencia!E22)</f>
        <v>34793758</v>
      </c>
      <c r="H22" s="268">
        <f>SUMIFS(ejec_ICPA!E:E,ejec_ICPA!B:B,vigencia!A22,ejec_ICPA!A:A,vigencia!E22)</f>
        <v>0</v>
      </c>
      <c r="I22" s="268">
        <f>SUMIFS(ejec_ICPA!F:F,ejec_ICPA!B:B,vigencia!A22,ejec_ICPA!A:A,vigencia!E22)</f>
        <v>0</v>
      </c>
      <c r="J22" s="268">
        <f>SUMIFS(ejec_ICPA!G:G,ejec_ICPA!B:B,vigencia!A22,ejec_ICPA!A:A,vigencia!E22)</f>
        <v>0</v>
      </c>
      <c r="K22" s="268">
        <f>SUMIFS(ejec_ICPA!H:H,ejec_ICPA!B:B,vigencia!A22,ejec_ICPA!A:A,vigencia!E22)</f>
        <v>0</v>
      </c>
      <c r="L22" s="268">
        <f t="shared" si="33"/>
        <v>34793758</v>
      </c>
      <c r="M22" s="268">
        <f>SUMIFS(ejec_ICPA!K:K,ejec_ICPA!B:B,vigencia!A22,ejec_ICPA!A:A,vigencia!E22)</f>
        <v>15751840</v>
      </c>
      <c r="N22" s="268">
        <f>SUMIFS(ejec_ICPA!L:L,ejec_ICPA!B:B,vigencia!A22,ejec_ICPA!A:A,vigencia!E22)</f>
        <v>15751840</v>
      </c>
      <c r="O22" s="268">
        <f>SUMIFS(ejec_ICPA!J:J,ejec_ICPA!B:B,vigencia!A22,ejec_ICPA!A:A,vigencia!E22)</f>
        <v>15751840</v>
      </c>
      <c r="P22" s="268">
        <f>SUMIFS(ejec_ICPA!M:M,ejec_ICPA!B:B,vigencia!A22,ejec_ICPA!A:A,vigencia!E22)</f>
        <v>15749832</v>
      </c>
      <c r="Q22" s="269">
        <f t="shared" si="34"/>
        <v>19041918</v>
      </c>
      <c r="R22" s="270">
        <f t="shared" si="8"/>
        <v>0.4527202839083953</v>
      </c>
      <c r="S22" s="271">
        <f t="shared" si="9"/>
        <v>0.45266257240738411</v>
      </c>
      <c r="T22" s="268">
        <f>SUMIFS(ejec_ICPA!N:N,ejec_ICPA!B:B,vigencia!A22,ejec_ICPA!A:A,vigencia!E22)</f>
        <v>1699168</v>
      </c>
      <c r="U22" s="268">
        <f>SUMIFS(ejec_ICPA!O:O,ejec_ICPA!B:B,vigencia!A22,ejec_ICPA!A:A,vigencia!E22)</f>
        <v>1699168</v>
      </c>
      <c r="V22" s="268">
        <f>SUMIFS(ejec_ICPA!P:P,ejec_ICPA!B:B,vigencia!A22,ejec_ICPA!A:A,vigencia!E22)</f>
        <v>1699168</v>
      </c>
      <c r="W22" s="268">
        <f>SUMIFS(ejec_ICPA!Q:Q,ejec_ICPA!B:B,vigencia!A22,ejec_ICPA!A:A,vigencia!E22)</f>
        <v>1753345</v>
      </c>
      <c r="X22" s="272">
        <f t="shared" si="35"/>
        <v>0</v>
      </c>
      <c r="Y22" s="272">
        <f t="shared" si="36"/>
        <v>0</v>
      </c>
      <c r="Z22" s="272">
        <f t="shared" si="37"/>
        <v>2008</v>
      </c>
    </row>
    <row r="23" spans="1:26" s="263" customFormat="1" x14ac:dyDescent="0.25">
      <c r="A23" s="257" t="s">
        <v>606</v>
      </c>
      <c r="B23" s="274"/>
      <c r="C23" s="275"/>
      <c r="D23" s="276" t="s">
        <v>658</v>
      </c>
      <c r="E23" s="276" t="s">
        <v>658</v>
      </c>
      <c r="F23" s="322"/>
      <c r="G23" s="277">
        <f>G24</f>
        <v>2054713617</v>
      </c>
      <c r="H23" s="277">
        <f t="shared" ref="H23:P23" si="38">H24</f>
        <v>0</v>
      </c>
      <c r="I23" s="277">
        <f t="shared" si="38"/>
        <v>0</v>
      </c>
      <c r="J23" s="277">
        <f t="shared" si="38"/>
        <v>134100000</v>
      </c>
      <c r="K23" s="277">
        <f t="shared" si="38"/>
        <v>64100000</v>
      </c>
      <c r="L23" s="277">
        <f t="shared" si="38"/>
        <v>2124713617</v>
      </c>
      <c r="M23" s="277">
        <f t="shared" si="38"/>
        <v>1677015949</v>
      </c>
      <c r="N23" s="277">
        <f t="shared" si="38"/>
        <v>1677015949</v>
      </c>
      <c r="O23" s="277">
        <f t="shared" si="38"/>
        <v>1677015949</v>
      </c>
      <c r="P23" s="277">
        <f t="shared" si="38"/>
        <v>1399547837</v>
      </c>
      <c r="Q23" s="277">
        <f t="shared" ref="Q23" si="39">Q24</f>
        <v>447697668</v>
      </c>
      <c r="R23" s="278">
        <f t="shared" si="8"/>
        <v>0.78929034745297633</v>
      </c>
      <c r="S23" s="278">
        <f t="shared" si="9"/>
        <v>0.65869951875024857</v>
      </c>
      <c r="T23" s="277">
        <f t="shared" ref="T23" si="40">T24</f>
        <v>-47357980</v>
      </c>
      <c r="U23" s="277">
        <f t="shared" ref="U23" si="41">U24</f>
        <v>15079227</v>
      </c>
      <c r="V23" s="277">
        <f t="shared" ref="V23" si="42">V24</f>
        <v>534389645</v>
      </c>
      <c r="W23" s="277">
        <f t="shared" ref="W23" si="43">W24</f>
        <v>266932640</v>
      </c>
      <c r="X23" s="277">
        <f t="shared" ref="X23" si="44">X24</f>
        <v>0</v>
      </c>
      <c r="Y23" s="277">
        <f t="shared" ref="Y23" si="45">Y24</f>
        <v>0</v>
      </c>
      <c r="Z23" s="277">
        <f t="shared" ref="Z23" si="46">Z24</f>
        <v>277468112</v>
      </c>
    </row>
    <row r="24" spans="1:26" s="263" customFormat="1" x14ac:dyDescent="0.25">
      <c r="A24" s="257" t="s">
        <v>607</v>
      </c>
      <c r="B24" s="274"/>
      <c r="C24" s="275"/>
      <c r="D24" s="276" t="s">
        <v>659</v>
      </c>
      <c r="E24" s="276" t="s">
        <v>659</v>
      </c>
      <c r="F24" s="322"/>
      <c r="G24" s="277">
        <f>SUM(G25:G28)</f>
        <v>2054713617</v>
      </c>
      <c r="H24" s="277">
        <f t="shared" ref="H24:P24" si="47">SUM(H25:H28)</f>
        <v>0</v>
      </c>
      <c r="I24" s="277">
        <f t="shared" si="47"/>
        <v>0</v>
      </c>
      <c r="J24" s="277">
        <f t="shared" si="47"/>
        <v>134100000</v>
      </c>
      <c r="K24" s="277">
        <f t="shared" si="47"/>
        <v>64100000</v>
      </c>
      <c r="L24" s="277">
        <f t="shared" si="47"/>
        <v>2124713617</v>
      </c>
      <c r="M24" s="277">
        <f t="shared" si="47"/>
        <v>1677015949</v>
      </c>
      <c r="N24" s="277">
        <f t="shared" si="47"/>
        <v>1677015949</v>
      </c>
      <c r="O24" s="277">
        <f t="shared" si="47"/>
        <v>1677015949</v>
      </c>
      <c r="P24" s="277">
        <f t="shared" si="47"/>
        <v>1399547837</v>
      </c>
      <c r="Q24" s="277">
        <f t="shared" ref="Q24" si="48">SUM(Q25:Q28)</f>
        <v>447697668</v>
      </c>
      <c r="R24" s="278">
        <f t="shared" si="8"/>
        <v>0.78929034745297633</v>
      </c>
      <c r="S24" s="278">
        <f t="shared" si="9"/>
        <v>0.65869951875024857</v>
      </c>
      <c r="T24" s="277">
        <f t="shared" ref="T24" si="49">SUM(T25:T28)</f>
        <v>-47357980</v>
      </c>
      <c r="U24" s="277">
        <f t="shared" ref="U24" si="50">SUM(U25:U28)</f>
        <v>15079227</v>
      </c>
      <c r="V24" s="277">
        <f t="shared" ref="V24" si="51">SUM(V25:V28)</f>
        <v>534389645</v>
      </c>
      <c r="W24" s="277">
        <f t="shared" ref="W24" si="52">SUM(W25:W28)</f>
        <v>266932640</v>
      </c>
      <c r="X24" s="277">
        <f t="shared" ref="X24" si="53">SUM(X25:X28)</f>
        <v>0</v>
      </c>
      <c r="Y24" s="277">
        <f t="shared" ref="Y24" si="54">SUM(Y25:Y28)</f>
        <v>0</v>
      </c>
      <c r="Z24" s="277">
        <f t="shared" ref="Z24" si="55">SUM(Z25:Z28)</f>
        <v>277468112</v>
      </c>
    </row>
    <row r="25" spans="1:26" x14ac:dyDescent="0.25">
      <c r="A25" s="264" t="s">
        <v>559</v>
      </c>
      <c r="B25" s="265">
        <v>999999</v>
      </c>
      <c r="C25" s="266"/>
      <c r="D25" s="264">
        <v>2120201003</v>
      </c>
      <c r="E25" s="264" t="s">
        <v>560</v>
      </c>
      <c r="F25" s="315" t="s">
        <v>217</v>
      </c>
      <c r="G25" s="268">
        <f>SUMIFS(ejec_ICPA!D:D,ejec_ICPA!B:B,vigencia!A25,ejec_ICPA!A:A,vigencia!E25)</f>
        <v>53560000</v>
      </c>
      <c r="H25" s="268">
        <f>SUMIFS(ejec_ICPA!E:E,ejec_ICPA!B:B,vigencia!A25,ejec_ICPA!A:A,vigencia!E25)</f>
        <v>0</v>
      </c>
      <c r="I25" s="268">
        <f>SUMIFS(ejec_ICPA!F:F,ejec_ICPA!B:B,vigencia!A25,ejec_ICPA!A:A,vigencia!E25)</f>
        <v>0</v>
      </c>
      <c r="J25" s="268">
        <f>SUMIFS(ejec_ICPA!G:G,ejec_ICPA!B:B,vigencia!A25,ejec_ICPA!A:A,vigencia!E25)</f>
        <v>30000000</v>
      </c>
      <c r="K25" s="268">
        <f>SUMIFS(ejec_ICPA!H:H,ejec_ICPA!B:B,vigencia!A25,ejec_ICPA!A:A,vigencia!E25)</f>
        <v>0</v>
      </c>
      <c r="L25" s="268">
        <f t="shared" ref="L25:L28" si="56">G25+H25-I25+J25-K25</f>
        <v>83560000</v>
      </c>
      <c r="M25" s="268">
        <f>SUMIFS(ejec_ICPA!K:K,ejec_ICPA!B:B,vigencia!A25,ejec_ICPA!A:A,vigencia!E25)</f>
        <v>61172396</v>
      </c>
      <c r="N25" s="268">
        <f>SUMIFS(ejec_ICPA!L:L,ejec_ICPA!B:B,vigencia!A25,ejec_ICPA!A:A,vigencia!E25)</f>
        <v>61172396</v>
      </c>
      <c r="O25" s="268">
        <f>SUMIFS(ejec_ICPA!J:J,ejec_ICPA!B:B,vigencia!A25,ejec_ICPA!A:A,vigencia!E25)</f>
        <v>61172396</v>
      </c>
      <c r="P25" s="268">
        <f>SUMIFS(ejec_ICPA!M:M,ejec_ICPA!B:B,vigencia!A25,ejec_ICPA!A:A,vigencia!E25)</f>
        <v>31767315</v>
      </c>
      <c r="Q25" s="269">
        <f t="shared" ref="Q25:Q28" si="57">L25-N25</f>
        <v>22387604</v>
      </c>
      <c r="R25" s="270">
        <f t="shared" si="8"/>
        <v>0.73207750119674486</v>
      </c>
      <c r="S25" s="271">
        <f t="shared" si="9"/>
        <v>0.38017370751555768</v>
      </c>
      <c r="T25" s="268">
        <f>SUMIFS(ejec_ICPA!N:N,ejec_ICPA!B:B,vigencia!A25,ejec_ICPA!A:A,vigencia!E25)</f>
        <v>22697982</v>
      </c>
      <c r="U25" s="268">
        <f>SUMIFS(ejec_ICPA!O:O,ejec_ICPA!B:B,vigencia!A25,ejec_ICPA!A:A,vigencia!E25)</f>
        <v>0</v>
      </c>
      <c r="V25" s="268">
        <f>SUMIFS(ejec_ICPA!P:P,ejec_ICPA!B:B,vigencia!A25,ejec_ICPA!A:A,vigencia!E25)</f>
        <v>30586969</v>
      </c>
      <c r="W25" s="268">
        <f>SUMIFS(ejec_ICPA!Q:Q,ejec_ICPA!B:B,vigencia!A25,ejec_ICPA!A:A,vigencia!E25)</f>
        <v>7415409</v>
      </c>
      <c r="X25" s="272">
        <f t="shared" ref="X25:X28" si="58">M25-N25</f>
        <v>0</v>
      </c>
      <c r="Y25" s="272">
        <f t="shared" ref="Y25:Y28" si="59">N25-O25</f>
        <v>0</v>
      </c>
      <c r="Z25" s="272">
        <f t="shared" ref="Z25:Z28" si="60">O25-P25</f>
        <v>29405081</v>
      </c>
    </row>
    <row r="26" spans="1:26" x14ac:dyDescent="0.25">
      <c r="A26" s="264" t="s">
        <v>619</v>
      </c>
      <c r="B26" s="265">
        <v>999999</v>
      </c>
      <c r="C26" s="266"/>
      <c r="D26" s="264" t="s">
        <v>662</v>
      </c>
      <c r="E26" s="264" t="s">
        <v>662</v>
      </c>
      <c r="F26" s="315" t="s">
        <v>217</v>
      </c>
      <c r="G26" s="268">
        <f>SUMIFS(ejec_ICPA!D:D,ejec_ICPA!B:B,vigencia!A26,ejec_ICPA!A:A,vigencia!E26)</f>
        <v>72100000</v>
      </c>
      <c r="H26" s="268">
        <f>SUMIFS(ejec_ICPA!E:E,ejec_ICPA!B:B,vigencia!A26,ejec_ICPA!A:A,vigencia!E26)</f>
        <v>0</v>
      </c>
      <c r="I26" s="268">
        <f>SUMIFS(ejec_ICPA!F:F,ejec_ICPA!B:B,vigencia!A26,ejec_ICPA!A:A,vigencia!E26)</f>
        <v>0</v>
      </c>
      <c r="J26" s="268">
        <f>SUMIFS(ejec_ICPA!G:G,ejec_ICPA!B:B,vigencia!A26,ejec_ICPA!A:A,vigencia!E26)</f>
        <v>70000000</v>
      </c>
      <c r="K26" s="268">
        <f>SUMIFS(ejec_ICPA!H:H,ejec_ICPA!B:B,vigencia!A26,ejec_ICPA!A:A,vigencia!E26)</f>
        <v>0</v>
      </c>
      <c r="L26" s="268">
        <f t="shared" si="56"/>
        <v>142100000</v>
      </c>
      <c r="M26" s="268">
        <f>SUMIFS(ejec_ICPA!K:K,ejec_ICPA!B:B,vigencia!A26,ejec_ICPA!A:A,vigencia!E26)</f>
        <v>107556455</v>
      </c>
      <c r="N26" s="268">
        <f>SUMIFS(ejec_ICPA!L:L,ejec_ICPA!B:B,vigencia!A26,ejec_ICPA!A:A,vigencia!E26)</f>
        <v>107556455</v>
      </c>
      <c r="O26" s="268">
        <f>SUMIFS(ejec_ICPA!J:J,ejec_ICPA!B:B,vigencia!A26,ejec_ICPA!A:A,vigencia!E26)</f>
        <v>107556455</v>
      </c>
      <c r="P26" s="268">
        <f>SUMIFS(ejec_ICPA!M:M,ejec_ICPA!B:B,vigencia!A26,ejec_ICPA!A:A,vigencia!E26)</f>
        <v>107556455</v>
      </c>
      <c r="Q26" s="269">
        <f t="shared" si="57"/>
        <v>34543545</v>
      </c>
      <c r="R26" s="270">
        <f t="shared" si="8"/>
        <v>0.75690679099225899</v>
      </c>
      <c r="S26" s="271">
        <f t="shared" si="9"/>
        <v>0.75690679099225899</v>
      </c>
      <c r="T26" s="268">
        <f>SUMIFS(ejec_ICPA!N:N,ejec_ICPA!B:B,vigencia!A26,ejec_ICPA!A:A,vigencia!E26)</f>
        <v>-6221040</v>
      </c>
      <c r="U26" s="268">
        <f>SUMIFS(ejec_ICPA!O:O,ejec_ICPA!B:B,vigencia!A26,ejec_ICPA!A:A,vigencia!E26)</f>
        <v>4213925</v>
      </c>
      <c r="V26" s="268">
        <f>SUMIFS(ejec_ICPA!P:P,ejec_ICPA!B:B,vigencia!A26,ejec_ICPA!A:A,vigencia!E26)</f>
        <v>5970250</v>
      </c>
      <c r="W26" s="268">
        <f>SUMIFS(ejec_ICPA!Q:Q,ejec_ICPA!B:B,vigencia!A26,ejec_ICPA!A:A,vigencia!E26)</f>
        <v>7026700</v>
      </c>
      <c r="X26" s="272">
        <f t="shared" si="58"/>
        <v>0</v>
      </c>
      <c r="Y26" s="272">
        <f t="shared" si="59"/>
        <v>0</v>
      </c>
      <c r="Z26" s="272">
        <f t="shared" si="60"/>
        <v>0</v>
      </c>
    </row>
    <row r="27" spans="1:26" x14ac:dyDescent="0.25">
      <c r="A27" s="264" t="s">
        <v>620</v>
      </c>
      <c r="B27" s="265">
        <v>999999</v>
      </c>
      <c r="C27" s="266"/>
      <c r="D27" s="264" t="s">
        <v>663</v>
      </c>
      <c r="E27" s="264" t="s">
        <v>663</v>
      </c>
      <c r="F27" s="315" t="s">
        <v>217</v>
      </c>
      <c r="G27" s="268">
        <f>SUMIFS(ejec_ICPA!D:D,ejec_ICPA!B:B,vigencia!A27,ejec_ICPA!A:A,vigencia!E27)</f>
        <v>307455000</v>
      </c>
      <c r="H27" s="268">
        <f>SUMIFS(ejec_ICPA!E:E,ejec_ICPA!B:B,vigencia!A27,ejec_ICPA!A:A,vigencia!E27)</f>
        <v>0</v>
      </c>
      <c r="I27" s="268">
        <f>SUMIFS(ejec_ICPA!F:F,ejec_ICPA!B:B,vigencia!A27,ejec_ICPA!A:A,vigencia!E27)</f>
        <v>0</v>
      </c>
      <c r="J27" s="268">
        <f>SUMIFS(ejec_ICPA!G:G,ejec_ICPA!B:B,vigencia!A27,ejec_ICPA!A:A,vigencia!E27)</f>
        <v>19100000</v>
      </c>
      <c r="K27" s="268">
        <f>SUMIFS(ejec_ICPA!H:H,ejec_ICPA!B:B,vigencia!A27,ejec_ICPA!A:A,vigencia!E27)</f>
        <v>0</v>
      </c>
      <c r="L27" s="268">
        <f t="shared" si="56"/>
        <v>326555000</v>
      </c>
      <c r="M27" s="268">
        <f>SUMIFS(ejec_ICPA!K:K,ejec_ICPA!B:B,vigencia!A27,ejec_ICPA!A:A,vigencia!E27)</f>
        <v>256880522</v>
      </c>
      <c r="N27" s="268">
        <f>SUMIFS(ejec_ICPA!L:L,ejec_ICPA!B:B,vigencia!A27,ejec_ICPA!A:A,vigencia!E27)</f>
        <v>256880522</v>
      </c>
      <c r="O27" s="268">
        <f>SUMIFS(ejec_ICPA!J:J,ejec_ICPA!B:B,vigencia!A27,ejec_ICPA!A:A,vigencia!E27)</f>
        <v>256880522</v>
      </c>
      <c r="P27" s="268">
        <f>SUMIFS(ejec_ICPA!M:M,ejec_ICPA!B:B,vigencia!A27,ejec_ICPA!A:A,vigencia!E27)</f>
        <v>50682170</v>
      </c>
      <c r="Q27" s="269">
        <f t="shared" si="57"/>
        <v>69674478</v>
      </c>
      <c r="R27" s="270">
        <f t="shared" si="8"/>
        <v>0.78663784661083125</v>
      </c>
      <c r="S27" s="271">
        <f t="shared" si="9"/>
        <v>0.15520255393425303</v>
      </c>
      <c r="T27" s="268">
        <f>SUMIFS(ejec_ICPA!N:N,ejec_ICPA!B:B,vigencia!A27,ejec_ICPA!A:A,vigencia!E27)</f>
        <v>-5380519</v>
      </c>
      <c r="U27" s="268">
        <f>SUMIFS(ejec_ICPA!O:O,ejec_ICPA!B:B,vigencia!A27,ejec_ICPA!A:A,vigencia!E27)</f>
        <v>0</v>
      </c>
      <c r="V27" s="268">
        <f>SUMIFS(ejec_ICPA!P:P,ejec_ICPA!B:B,vigencia!A27,ejec_ICPA!A:A,vigencia!E27)</f>
        <v>206581226</v>
      </c>
      <c r="W27" s="268">
        <f>SUMIFS(ejec_ICPA!Q:Q,ejec_ICPA!B:B,vigencia!A27,ejec_ICPA!A:A,vigencia!E27)</f>
        <v>382874</v>
      </c>
      <c r="X27" s="272">
        <f t="shared" si="58"/>
        <v>0</v>
      </c>
      <c r="Y27" s="272">
        <f t="shared" si="59"/>
        <v>0</v>
      </c>
      <c r="Z27" s="272">
        <f t="shared" si="60"/>
        <v>206198352</v>
      </c>
    </row>
    <row r="28" spans="1:26" x14ac:dyDescent="0.25">
      <c r="A28" s="264" t="s">
        <v>621</v>
      </c>
      <c r="B28" s="265">
        <v>999999</v>
      </c>
      <c r="C28" s="266"/>
      <c r="D28" s="264" t="s">
        <v>664</v>
      </c>
      <c r="E28" s="264" t="s">
        <v>664</v>
      </c>
      <c r="F28" s="315" t="s">
        <v>217</v>
      </c>
      <c r="G28" s="268">
        <f>SUMIFS(ejec_ICPA!D:D,ejec_ICPA!B:B,vigencia!A28,ejec_ICPA!A:A,vigencia!E28)</f>
        <v>1621598617</v>
      </c>
      <c r="H28" s="268">
        <f>SUMIFS(ejec_ICPA!E:E,ejec_ICPA!B:B,vigencia!A28,ejec_ICPA!A:A,vigencia!E28)</f>
        <v>0</v>
      </c>
      <c r="I28" s="268">
        <f>SUMIFS(ejec_ICPA!F:F,ejec_ICPA!B:B,vigencia!A28,ejec_ICPA!A:A,vigencia!E28)</f>
        <v>0</v>
      </c>
      <c r="J28" s="268">
        <f>SUMIFS(ejec_ICPA!G:G,ejec_ICPA!B:B,vigencia!A28,ejec_ICPA!A:A,vigencia!E28)</f>
        <v>15000000</v>
      </c>
      <c r="K28" s="268">
        <f>SUMIFS(ejec_ICPA!H:H,ejec_ICPA!B:B,vigencia!A28,ejec_ICPA!A:A,vigencia!E28)</f>
        <v>64100000</v>
      </c>
      <c r="L28" s="268">
        <f t="shared" si="56"/>
        <v>1572498617</v>
      </c>
      <c r="M28" s="268">
        <f>SUMIFS(ejec_ICPA!K:K,ejec_ICPA!B:B,vigencia!A28,ejec_ICPA!A:A,vigencia!E28)</f>
        <v>1251406576</v>
      </c>
      <c r="N28" s="268">
        <f>SUMIFS(ejec_ICPA!L:L,ejec_ICPA!B:B,vigencia!A28,ejec_ICPA!A:A,vigencia!E28)</f>
        <v>1251406576</v>
      </c>
      <c r="O28" s="268">
        <f>SUMIFS(ejec_ICPA!J:J,ejec_ICPA!B:B,vigencia!A28,ejec_ICPA!A:A,vigencia!E28)</f>
        <v>1251406576</v>
      </c>
      <c r="P28" s="268">
        <f>SUMIFS(ejec_ICPA!M:M,ejec_ICPA!B:B,vigencia!A28,ejec_ICPA!A:A,vigencia!E28)</f>
        <v>1209541897</v>
      </c>
      <c r="Q28" s="269">
        <f t="shared" si="57"/>
        <v>321092041</v>
      </c>
      <c r="R28" s="270">
        <f t="shared" si="8"/>
        <v>0.7958077434671601</v>
      </c>
      <c r="S28" s="271">
        <f t="shared" si="9"/>
        <v>0.76918471273924183</v>
      </c>
      <c r="T28" s="268">
        <f>SUMIFS(ejec_ICPA!N:N,ejec_ICPA!B:B,vigencia!A28,ejec_ICPA!A:A,vigencia!E28)</f>
        <v>-58454403</v>
      </c>
      <c r="U28" s="268">
        <f>SUMIFS(ejec_ICPA!O:O,ejec_ICPA!B:B,vigencia!A28,ejec_ICPA!A:A,vigencia!E28)</f>
        <v>10865302</v>
      </c>
      <c r="V28" s="268">
        <f>SUMIFS(ejec_ICPA!P:P,ejec_ICPA!B:B,vigencia!A28,ejec_ICPA!A:A,vigencia!E28)</f>
        <v>291251200</v>
      </c>
      <c r="W28" s="268">
        <f>SUMIFS(ejec_ICPA!Q:Q,ejec_ICPA!B:B,vigencia!A28,ejec_ICPA!A:A,vigencia!E28)</f>
        <v>252107657</v>
      </c>
      <c r="X28" s="272">
        <f t="shared" si="58"/>
        <v>0</v>
      </c>
      <c r="Y28" s="272">
        <f t="shared" si="59"/>
        <v>0</v>
      </c>
      <c r="Z28" s="272">
        <f t="shared" si="60"/>
        <v>41864679</v>
      </c>
    </row>
    <row r="29" spans="1:26" s="280" customFormat="1" x14ac:dyDescent="0.25">
      <c r="A29" s="250" t="s">
        <v>622</v>
      </c>
      <c r="B29" s="251"/>
      <c r="C29" s="279"/>
      <c r="D29" s="250" t="s">
        <v>665</v>
      </c>
      <c r="E29" s="250" t="s">
        <v>665</v>
      </c>
      <c r="F29" s="320"/>
      <c r="G29" s="254">
        <f>G30</f>
        <v>3200000</v>
      </c>
      <c r="H29" s="254">
        <f t="shared" ref="H29:P29" si="61">H30</f>
        <v>0</v>
      </c>
      <c r="I29" s="254">
        <f t="shared" si="61"/>
        <v>0</v>
      </c>
      <c r="J29" s="254">
        <f t="shared" si="61"/>
        <v>0</v>
      </c>
      <c r="K29" s="254">
        <f t="shared" si="61"/>
        <v>0</v>
      </c>
      <c r="L29" s="254">
        <f t="shared" si="61"/>
        <v>3200000</v>
      </c>
      <c r="M29" s="254">
        <f t="shared" si="61"/>
        <v>478000</v>
      </c>
      <c r="N29" s="254">
        <f t="shared" si="61"/>
        <v>478000</v>
      </c>
      <c r="O29" s="254">
        <f t="shared" si="61"/>
        <v>478000</v>
      </c>
      <c r="P29" s="254">
        <f t="shared" si="61"/>
        <v>478000</v>
      </c>
      <c r="Q29" s="254">
        <f t="shared" ref="Q29" si="62">Q30</f>
        <v>2722000</v>
      </c>
      <c r="R29" s="255">
        <f t="shared" si="8"/>
        <v>0.14937500000000001</v>
      </c>
      <c r="S29" s="255">
        <f t="shared" si="9"/>
        <v>0.14937500000000001</v>
      </c>
      <c r="T29" s="254">
        <f t="shared" ref="T29" si="63">T30</f>
        <v>0</v>
      </c>
      <c r="U29" s="254">
        <f t="shared" ref="U29" si="64">U30</f>
        <v>0</v>
      </c>
      <c r="V29" s="254">
        <f t="shared" ref="V29" si="65">V30</f>
        <v>0</v>
      </c>
      <c r="W29" s="254">
        <f t="shared" ref="W29" si="66">W30</f>
        <v>0</v>
      </c>
      <c r="X29" s="254">
        <f t="shared" ref="X29" si="67">X30</f>
        <v>0</v>
      </c>
      <c r="Y29" s="254">
        <f t="shared" ref="Y29" si="68">Y30</f>
        <v>0</v>
      </c>
      <c r="Z29" s="254">
        <f t="shared" ref="Z29" si="69">Z30</f>
        <v>0</v>
      </c>
    </row>
    <row r="30" spans="1:26" s="263" customFormat="1" x14ac:dyDescent="0.25">
      <c r="A30" s="257" t="s">
        <v>103</v>
      </c>
      <c r="B30" s="274"/>
      <c r="C30" s="275"/>
      <c r="D30" s="281" t="s">
        <v>666</v>
      </c>
      <c r="E30" s="281" t="s">
        <v>666</v>
      </c>
      <c r="F30" s="322"/>
      <c r="G30" s="277">
        <f>SUM(G31:G33)</f>
        <v>3200000</v>
      </c>
      <c r="H30" s="277">
        <f t="shared" ref="H30:P30" si="70">SUM(H31:H33)</f>
        <v>0</v>
      </c>
      <c r="I30" s="277">
        <f t="shared" si="70"/>
        <v>0</v>
      </c>
      <c r="J30" s="277">
        <f t="shared" si="70"/>
        <v>0</v>
      </c>
      <c r="K30" s="277">
        <f t="shared" si="70"/>
        <v>0</v>
      </c>
      <c r="L30" s="277">
        <f t="shared" si="70"/>
        <v>3200000</v>
      </c>
      <c r="M30" s="277">
        <f t="shared" si="70"/>
        <v>478000</v>
      </c>
      <c r="N30" s="277">
        <f t="shared" si="70"/>
        <v>478000</v>
      </c>
      <c r="O30" s="277">
        <f t="shared" si="70"/>
        <v>478000</v>
      </c>
      <c r="P30" s="277">
        <f t="shared" si="70"/>
        <v>478000</v>
      </c>
      <c r="Q30" s="277">
        <f t="shared" ref="Q30" si="71">SUM(Q31:Q33)</f>
        <v>2722000</v>
      </c>
      <c r="R30" s="278">
        <f t="shared" si="8"/>
        <v>0.14937500000000001</v>
      </c>
      <c r="S30" s="278">
        <f t="shared" si="9"/>
        <v>0.14937500000000001</v>
      </c>
      <c r="T30" s="277">
        <f t="shared" ref="T30" si="72">SUM(T31:T33)</f>
        <v>0</v>
      </c>
      <c r="U30" s="277">
        <f t="shared" ref="U30" si="73">SUM(U31:U33)</f>
        <v>0</v>
      </c>
      <c r="V30" s="277">
        <f t="shared" ref="V30" si="74">SUM(V31:V33)</f>
        <v>0</v>
      </c>
      <c r="W30" s="277">
        <f t="shared" ref="W30" si="75">SUM(W31:W33)</f>
        <v>0</v>
      </c>
      <c r="X30" s="277">
        <f t="shared" ref="X30" si="76">SUM(X31:X33)</f>
        <v>0</v>
      </c>
      <c r="Y30" s="277">
        <f t="shared" ref="Y30" si="77">SUM(Y31:Y33)</f>
        <v>0</v>
      </c>
      <c r="Z30" s="277">
        <f t="shared" ref="Z30" si="78">SUM(Z31:Z33)</f>
        <v>0</v>
      </c>
    </row>
    <row r="31" spans="1:26" x14ac:dyDescent="0.25">
      <c r="A31" s="264" t="s">
        <v>583</v>
      </c>
      <c r="B31" s="265">
        <v>999999</v>
      </c>
      <c r="C31" s="266"/>
      <c r="D31" s="264">
        <v>2131301001</v>
      </c>
      <c r="E31" s="264" t="s">
        <v>584</v>
      </c>
      <c r="F31" s="315" t="s">
        <v>217</v>
      </c>
      <c r="G31" s="268">
        <f>SUMIFS(ejec_ICPA!D:D,ejec_ICPA!B:B,vigencia!A31,ejec_ICPA!A:A,vigencia!E31)</f>
        <v>1000000</v>
      </c>
      <c r="H31" s="268">
        <f>SUMIFS(ejec_ICPA!E:E,ejec_ICPA!B:B,vigencia!A31,ejec_ICPA!A:A,vigencia!E31)</f>
        <v>0</v>
      </c>
      <c r="I31" s="268">
        <f>SUMIFS(ejec_ICPA!F:F,ejec_ICPA!B:B,vigencia!A31,ejec_ICPA!A:A,vigencia!E31)</f>
        <v>0</v>
      </c>
      <c r="J31" s="268">
        <f>SUMIFS(ejec_ICPA!G:G,ejec_ICPA!B:B,vigencia!A31,ejec_ICPA!A:A,vigencia!E31)</f>
        <v>0</v>
      </c>
      <c r="K31" s="268">
        <f>SUMIFS(ejec_ICPA!H:H,ejec_ICPA!B:B,vigencia!A31,ejec_ICPA!A:A,vigencia!E31)</f>
        <v>0</v>
      </c>
      <c r="L31" s="268">
        <f t="shared" ref="L31:L33" si="79">G31+H31-I31+J31-K31</f>
        <v>1000000</v>
      </c>
      <c r="M31" s="268">
        <f>SUMIFS(ejec_ICPA!K:K,ejec_ICPA!B:B,vigencia!A31,ejec_ICPA!A:A,vigencia!E31)</f>
        <v>0</v>
      </c>
      <c r="N31" s="268">
        <f>SUMIFS(ejec_ICPA!L:L,ejec_ICPA!B:B,vigencia!A31,ejec_ICPA!A:A,vigencia!E31)</f>
        <v>0</v>
      </c>
      <c r="O31" s="268">
        <f>SUMIFS(ejec_ICPA!J:J,ejec_ICPA!B:B,vigencia!A31,ejec_ICPA!A:A,vigencia!E31)</f>
        <v>0</v>
      </c>
      <c r="P31" s="268">
        <f>SUMIFS(ejec_ICPA!M:M,ejec_ICPA!B:B,vigencia!A31,ejec_ICPA!A:A,vigencia!E31)</f>
        <v>0</v>
      </c>
      <c r="Q31" s="269">
        <f t="shared" ref="Q31:Q33" si="80">L31-N31</f>
        <v>1000000</v>
      </c>
      <c r="R31" s="270">
        <f t="shared" si="8"/>
        <v>0</v>
      </c>
      <c r="S31" s="271">
        <f t="shared" si="9"/>
        <v>0</v>
      </c>
      <c r="T31" s="268">
        <f>SUMIFS(ejec_ICPA!N:N,ejec_ICPA!B:B,vigencia!A31,ejec_ICPA!A:A,vigencia!E31)</f>
        <v>0</v>
      </c>
      <c r="U31" s="268">
        <f>SUMIFS(ejec_ICPA!O:O,ejec_ICPA!B:B,vigencia!A31,ejec_ICPA!A:A,vigencia!E31)</f>
        <v>0</v>
      </c>
      <c r="V31" s="268">
        <f>SUMIFS(ejec_ICPA!P:P,ejec_ICPA!B:B,vigencia!A31,ejec_ICPA!A:A,vigencia!E31)</f>
        <v>0</v>
      </c>
      <c r="W31" s="268">
        <f>SUMIFS(ejec_ICPA!Q:Q,ejec_ICPA!B:B,vigencia!A31,ejec_ICPA!A:A,vigencia!E31)</f>
        <v>0</v>
      </c>
      <c r="X31" s="272">
        <f t="shared" ref="X31:X33" si="81">M31-N31</f>
        <v>0</v>
      </c>
      <c r="Y31" s="272">
        <f t="shared" ref="Y31:Y33" si="82">N31-O31</f>
        <v>0</v>
      </c>
      <c r="Z31" s="272">
        <f t="shared" ref="Z31:Z33" si="83">O31-P31</f>
        <v>0</v>
      </c>
    </row>
    <row r="32" spans="1:26" x14ac:dyDescent="0.25">
      <c r="A32" s="264" t="s">
        <v>585</v>
      </c>
      <c r="B32" s="265">
        <v>999999</v>
      </c>
      <c r="C32" s="266"/>
      <c r="D32" s="264">
        <v>2131301002</v>
      </c>
      <c r="E32" s="264" t="s">
        <v>586</v>
      </c>
      <c r="F32" s="315" t="s">
        <v>217</v>
      </c>
      <c r="G32" s="268">
        <f>SUMIFS(ejec_ICPA!D:D,ejec_ICPA!B:B,vigencia!A32,ejec_ICPA!A:A,vigencia!E32)</f>
        <v>1000000</v>
      </c>
      <c r="H32" s="268">
        <f>SUMIFS(ejec_ICPA!E:E,ejec_ICPA!B:B,vigencia!A32,ejec_ICPA!A:A,vigencia!E32)</f>
        <v>0</v>
      </c>
      <c r="I32" s="268">
        <f>SUMIFS(ejec_ICPA!F:F,ejec_ICPA!B:B,vigencia!A32,ejec_ICPA!A:A,vigencia!E32)</f>
        <v>0</v>
      </c>
      <c r="J32" s="268">
        <f>SUMIFS(ejec_ICPA!G:G,ejec_ICPA!B:B,vigencia!A32,ejec_ICPA!A:A,vigencia!E32)</f>
        <v>0</v>
      </c>
      <c r="K32" s="268">
        <f>SUMIFS(ejec_ICPA!H:H,ejec_ICPA!B:B,vigencia!A32,ejec_ICPA!A:A,vigencia!E32)</f>
        <v>0</v>
      </c>
      <c r="L32" s="268">
        <f t="shared" si="79"/>
        <v>1000000</v>
      </c>
      <c r="M32" s="268">
        <f>SUMIFS(ejec_ICPA!K:K,ejec_ICPA!B:B,vigencia!A32,ejec_ICPA!A:A,vigencia!E32)</f>
        <v>478000</v>
      </c>
      <c r="N32" s="268">
        <f>SUMIFS(ejec_ICPA!L:L,ejec_ICPA!B:B,vigencia!A32,ejec_ICPA!A:A,vigencia!E32)</f>
        <v>478000</v>
      </c>
      <c r="O32" s="268">
        <f>SUMIFS(ejec_ICPA!J:J,ejec_ICPA!B:B,vigencia!A32,ejec_ICPA!A:A,vigencia!E32)</f>
        <v>478000</v>
      </c>
      <c r="P32" s="268">
        <f>SUMIFS(ejec_ICPA!M:M,ejec_ICPA!B:B,vigencia!A32,ejec_ICPA!A:A,vigencia!E32)</f>
        <v>478000</v>
      </c>
      <c r="Q32" s="269">
        <f t="shared" si="80"/>
        <v>522000</v>
      </c>
      <c r="R32" s="270">
        <f t="shared" si="8"/>
        <v>0.47799999999999998</v>
      </c>
      <c r="S32" s="271">
        <f t="shared" si="9"/>
        <v>0.47799999999999998</v>
      </c>
      <c r="T32" s="268">
        <f>SUMIFS(ejec_ICPA!N:N,ejec_ICPA!B:B,vigencia!A32,ejec_ICPA!A:A,vigencia!E32)</f>
        <v>0</v>
      </c>
      <c r="U32" s="268">
        <f>SUMIFS(ejec_ICPA!O:O,ejec_ICPA!B:B,vigencia!A32,ejec_ICPA!A:A,vigencia!E32)</f>
        <v>0</v>
      </c>
      <c r="V32" s="268">
        <f>SUMIFS(ejec_ICPA!P:P,ejec_ICPA!B:B,vigencia!A32,ejec_ICPA!A:A,vigencia!E32)</f>
        <v>0</v>
      </c>
      <c r="W32" s="268">
        <f>SUMIFS(ejec_ICPA!Q:Q,ejec_ICPA!B:B,vigencia!A32,ejec_ICPA!A:A,vigencia!E32)</f>
        <v>0</v>
      </c>
      <c r="X32" s="272">
        <f t="shared" si="81"/>
        <v>0</v>
      </c>
      <c r="Y32" s="272">
        <f t="shared" si="82"/>
        <v>0</v>
      </c>
      <c r="Z32" s="272">
        <f t="shared" si="83"/>
        <v>0</v>
      </c>
    </row>
    <row r="33" spans="1:26" x14ac:dyDescent="0.25">
      <c r="A33" s="264" t="s">
        <v>587</v>
      </c>
      <c r="B33" s="265">
        <v>999999</v>
      </c>
      <c r="C33" s="266"/>
      <c r="D33" s="264">
        <v>2131301003</v>
      </c>
      <c r="E33" s="264" t="s">
        <v>588</v>
      </c>
      <c r="F33" s="315" t="s">
        <v>217</v>
      </c>
      <c r="G33" s="268">
        <f>SUMIFS(ejec_ICPA!D:D,ejec_ICPA!B:B,vigencia!A33,ejec_ICPA!A:A,vigencia!E33)</f>
        <v>1200000</v>
      </c>
      <c r="H33" s="268">
        <f>SUMIFS(ejec_ICPA!E:E,ejec_ICPA!B:B,vigencia!A33,ejec_ICPA!A:A,vigencia!E33)</f>
        <v>0</v>
      </c>
      <c r="I33" s="268">
        <f>SUMIFS(ejec_ICPA!F:F,ejec_ICPA!B:B,vigencia!A33,ejec_ICPA!A:A,vigencia!E33)</f>
        <v>0</v>
      </c>
      <c r="J33" s="268">
        <f>SUMIFS(ejec_ICPA!G:G,ejec_ICPA!B:B,vigencia!A33,ejec_ICPA!A:A,vigencia!E33)</f>
        <v>0</v>
      </c>
      <c r="K33" s="268">
        <f>SUMIFS(ejec_ICPA!H:H,ejec_ICPA!B:B,vigencia!A33,ejec_ICPA!A:A,vigencia!E33)</f>
        <v>0</v>
      </c>
      <c r="L33" s="268">
        <f t="shared" si="79"/>
        <v>1200000</v>
      </c>
      <c r="M33" s="268">
        <f>SUMIFS(ejec_ICPA!K:K,ejec_ICPA!B:B,vigencia!A33,ejec_ICPA!A:A,vigencia!E33)</f>
        <v>0</v>
      </c>
      <c r="N33" s="268">
        <f>SUMIFS(ejec_ICPA!L:L,ejec_ICPA!B:B,vigencia!A33,ejec_ICPA!A:A,vigencia!E33)</f>
        <v>0</v>
      </c>
      <c r="O33" s="268">
        <f>SUMIFS(ejec_ICPA!J:J,ejec_ICPA!B:B,vigencia!A33,ejec_ICPA!A:A,vigencia!E33)</f>
        <v>0</v>
      </c>
      <c r="P33" s="268">
        <f>SUMIFS(ejec_ICPA!M:M,ejec_ICPA!B:B,vigencia!A33,ejec_ICPA!A:A,vigencia!E33)</f>
        <v>0</v>
      </c>
      <c r="Q33" s="269">
        <f t="shared" si="80"/>
        <v>1200000</v>
      </c>
      <c r="R33" s="270">
        <f t="shared" si="8"/>
        <v>0</v>
      </c>
      <c r="S33" s="271">
        <f t="shared" si="9"/>
        <v>0</v>
      </c>
      <c r="T33" s="268">
        <f>SUMIFS(ejec_ICPA!N:N,ejec_ICPA!B:B,vigencia!A33,ejec_ICPA!A:A,vigencia!E33)</f>
        <v>0</v>
      </c>
      <c r="U33" s="268">
        <f>SUMIFS(ejec_ICPA!O:O,ejec_ICPA!B:B,vigencia!A33,ejec_ICPA!A:A,vigencia!E33)</f>
        <v>0</v>
      </c>
      <c r="V33" s="268">
        <f>SUMIFS(ejec_ICPA!P:P,ejec_ICPA!B:B,vigencia!A33,ejec_ICPA!A:A,vigencia!E33)</f>
        <v>0</v>
      </c>
      <c r="W33" s="268">
        <f>SUMIFS(ejec_ICPA!Q:Q,ejec_ICPA!B:B,vigencia!A33,ejec_ICPA!A:A,vigencia!E33)</f>
        <v>0</v>
      </c>
      <c r="X33" s="272">
        <f t="shared" si="81"/>
        <v>0</v>
      </c>
      <c r="Y33" s="272">
        <f t="shared" si="82"/>
        <v>0</v>
      </c>
      <c r="Z33" s="272">
        <f t="shared" si="83"/>
        <v>0</v>
      </c>
    </row>
    <row r="34" spans="1:26" s="263" customFormat="1" x14ac:dyDescent="0.25">
      <c r="A34" s="257" t="s">
        <v>624</v>
      </c>
      <c r="B34" s="274"/>
      <c r="C34" s="275"/>
      <c r="D34" s="281" t="s">
        <v>668</v>
      </c>
      <c r="E34" s="281" t="s">
        <v>668</v>
      </c>
      <c r="F34" s="322"/>
      <c r="G34" s="277">
        <f>G35</f>
        <v>45000000</v>
      </c>
      <c r="H34" s="277">
        <f t="shared" ref="H34:P34" si="84">H35</f>
        <v>0</v>
      </c>
      <c r="I34" s="277">
        <f t="shared" si="84"/>
        <v>0</v>
      </c>
      <c r="J34" s="277">
        <f t="shared" si="84"/>
        <v>0</v>
      </c>
      <c r="K34" s="277">
        <f t="shared" si="84"/>
        <v>0</v>
      </c>
      <c r="L34" s="277">
        <f t="shared" si="84"/>
        <v>45000000</v>
      </c>
      <c r="M34" s="277">
        <f t="shared" si="84"/>
        <v>25000000</v>
      </c>
      <c r="N34" s="277">
        <f t="shared" si="84"/>
        <v>25000000</v>
      </c>
      <c r="O34" s="277">
        <f t="shared" si="84"/>
        <v>25000000</v>
      </c>
      <c r="P34" s="277">
        <f t="shared" si="84"/>
        <v>10142487</v>
      </c>
      <c r="Q34" s="277">
        <f t="shared" ref="Q34" si="85">Q35</f>
        <v>20000000</v>
      </c>
      <c r="R34" s="278">
        <f t="shared" si="8"/>
        <v>0.55555555555555558</v>
      </c>
      <c r="S34" s="278">
        <f t="shared" si="9"/>
        <v>0.22538859999999999</v>
      </c>
      <c r="T34" s="277">
        <f t="shared" ref="T34" si="86">T35</f>
        <v>14857513</v>
      </c>
      <c r="U34" s="277">
        <f t="shared" ref="U34" si="87">U35</f>
        <v>14857513</v>
      </c>
      <c r="V34" s="277">
        <f t="shared" ref="V34" si="88">V35</f>
        <v>14857513</v>
      </c>
      <c r="W34" s="277">
        <f t="shared" ref="W34" si="89">W35</f>
        <v>4616758</v>
      </c>
      <c r="X34" s="277">
        <f t="shared" ref="X34" si="90">X35</f>
        <v>0</v>
      </c>
      <c r="Y34" s="277">
        <f t="shared" ref="Y34" si="91">Y35</f>
        <v>0</v>
      </c>
      <c r="Z34" s="277">
        <f t="shared" ref="Z34" si="92">Z35</f>
        <v>14857513</v>
      </c>
    </row>
    <row r="35" spans="1:26" s="263" customFormat="1" x14ac:dyDescent="0.25">
      <c r="A35" s="257" t="s">
        <v>625</v>
      </c>
      <c r="B35" s="274"/>
      <c r="C35" s="275"/>
      <c r="D35" s="281" t="s">
        <v>669</v>
      </c>
      <c r="E35" s="281" t="s">
        <v>669</v>
      </c>
      <c r="F35" s="322"/>
      <c r="G35" s="277">
        <f>SUM(G36:G37)</f>
        <v>45000000</v>
      </c>
      <c r="H35" s="277">
        <f t="shared" ref="H35:P35" si="93">SUM(H36:H37)</f>
        <v>0</v>
      </c>
      <c r="I35" s="277">
        <f t="shared" si="93"/>
        <v>0</v>
      </c>
      <c r="J35" s="277">
        <f t="shared" si="93"/>
        <v>0</v>
      </c>
      <c r="K35" s="277">
        <f t="shared" si="93"/>
        <v>0</v>
      </c>
      <c r="L35" s="277">
        <f t="shared" si="93"/>
        <v>45000000</v>
      </c>
      <c r="M35" s="277">
        <f t="shared" si="93"/>
        <v>25000000</v>
      </c>
      <c r="N35" s="277">
        <f t="shared" si="93"/>
        <v>25000000</v>
      </c>
      <c r="O35" s="277">
        <f t="shared" si="93"/>
        <v>25000000</v>
      </c>
      <c r="P35" s="277">
        <f t="shared" si="93"/>
        <v>10142487</v>
      </c>
      <c r="Q35" s="277">
        <f t="shared" ref="Q35" si="94">SUM(Q36:Q37)</f>
        <v>20000000</v>
      </c>
      <c r="R35" s="278">
        <f t="shared" si="8"/>
        <v>0.55555555555555558</v>
      </c>
      <c r="S35" s="278">
        <f t="shared" si="9"/>
        <v>0.22538859999999999</v>
      </c>
      <c r="T35" s="277">
        <f t="shared" ref="T35" si="95">SUM(T36:T37)</f>
        <v>14857513</v>
      </c>
      <c r="U35" s="277">
        <f t="shared" ref="U35" si="96">SUM(U36:U37)</f>
        <v>14857513</v>
      </c>
      <c r="V35" s="277">
        <f t="shared" ref="V35" si="97">SUM(V36:V37)</f>
        <v>14857513</v>
      </c>
      <c r="W35" s="277">
        <f t="shared" ref="W35" si="98">SUM(W36:W37)</f>
        <v>4616758</v>
      </c>
      <c r="X35" s="277">
        <f t="shared" ref="X35" si="99">SUM(X36:X37)</f>
        <v>0</v>
      </c>
      <c r="Y35" s="277">
        <f t="shared" ref="Y35" si="100">SUM(Y36:Y37)</f>
        <v>0</v>
      </c>
      <c r="Z35" s="277">
        <f t="shared" ref="Z35" si="101">SUM(Z36:Z37)</f>
        <v>14857513</v>
      </c>
    </row>
    <row r="36" spans="1:26" x14ac:dyDescent="0.25">
      <c r="A36" s="264" t="s">
        <v>589</v>
      </c>
      <c r="B36" s="265"/>
      <c r="C36" s="266"/>
      <c r="D36" s="264">
        <v>2170101</v>
      </c>
      <c r="E36" s="264" t="s">
        <v>590</v>
      </c>
      <c r="F36" s="315" t="s">
        <v>217</v>
      </c>
      <c r="G36" s="268">
        <f>SUMIFS(ejec_ICPA!D:D,ejec_ICPA!B:B,vigencia!A36,ejec_ICPA!A:A,vigencia!E36)</f>
        <v>25000000</v>
      </c>
      <c r="H36" s="268">
        <f>SUMIFS(ejec_ICPA!E:E,ejec_ICPA!B:B,vigencia!A36,ejec_ICPA!A:A,vigencia!E36)</f>
        <v>0</v>
      </c>
      <c r="I36" s="268">
        <f>SUMIFS(ejec_ICPA!F:F,ejec_ICPA!B:B,vigencia!A36,ejec_ICPA!A:A,vigencia!E36)</f>
        <v>0</v>
      </c>
      <c r="J36" s="268">
        <f>SUMIFS(ejec_ICPA!G:G,ejec_ICPA!B:B,vigencia!A36,ejec_ICPA!A:A,vigencia!E36)</f>
        <v>0</v>
      </c>
      <c r="K36" s="268">
        <f>SUMIFS(ejec_ICPA!H:H,ejec_ICPA!B:B,vigencia!A36,ejec_ICPA!A:A,vigencia!E36)</f>
        <v>0</v>
      </c>
      <c r="L36" s="268">
        <f t="shared" ref="L36:L37" si="102">G36+H36-I36+J36-K36</f>
        <v>25000000</v>
      </c>
      <c r="M36" s="268">
        <f>SUMIFS(ejec_ICPA!K:K,ejec_ICPA!B:B,vigencia!A36,ejec_ICPA!A:A,vigencia!E36)</f>
        <v>25000000</v>
      </c>
      <c r="N36" s="268">
        <f>SUMIFS(ejec_ICPA!L:L,ejec_ICPA!B:B,vigencia!A36,ejec_ICPA!A:A,vigencia!E36)</f>
        <v>25000000</v>
      </c>
      <c r="O36" s="268">
        <f>SUMIFS(ejec_ICPA!J:J,ejec_ICPA!B:B,vigencia!A36,ejec_ICPA!A:A,vigencia!E36)</f>
        <v>25000000</v>
      </c>
      <c r="P36" s="268">
        <f>SUMIFS(ejec_ICPA!M:M,ejec_ICPA!B:B,vigencia!A36,ejec_ICPA!A:A,vigencia!E36)</f>
        <v>10142487</v>
      </c>
      <c r="Q36" s="269">
        <f t="shared" ref="Q36:Q37" si="103">L36-N36</f>
        <v>0</v>
      </c>
      <c r="R36" s="270">
        <f t="shared" si="8"/>
        <v>1</v>
      </c>
      <c r="S36" s="271">
        <f t="shared" si="9"/>
        <v>0.40569948</v>
      </c>
      <c r="T36" s="268">
        <f>SUMIFS(ejec_ICPA!N:N,ejec_ICPA!B:B,vigencia!A36,ejec_ICPA!A:A,vigencia!E36)</f>
        <v>14857513</v>
      </c>
      <c r="U36" s="268">
        <f>SUMIFS(ejec_ICPA!O:O,ejec_ICPA!B:B,vigencia!A36,ejec_ICPA!A:A,vigencia!E36)</f>
        <v>14857513</v>
      </c>
      <c r="V36" s="268">
        <f>SUMIFS(ejec_ICPA!P:P,ejec_ICPA!B:B,vigencia!A36,ejec_ICPA!A:A,vigencia!E36)</f>
        <v>14857513</v>
      </c>
      <c r="W36" s="268">
        <f>SUMIFS(ejec_ICPA!Q:Q,ejec_ICPA!B:B,vigencia!A36,ejec_ICPA!A:A,vigencia!E36)</f>
        <v>4616758</v>
      </c>
      <c r="X36" s="272">
        <f t="shared" ref="X36:Z37" si="104">M36-N36</f>
        <v>0</v>
      </c>
      <c r="Y36" s="272">
        <f t="shared" si="104"/>
        <v>0</v>
      </c>
      <c r="Z36" s="272">
        <f t="shared" si="104"/>
        <v>14857513</v>
      </c>
    </row>
    <row r="37" spans="1:26" x14ac:dyDescent="0.25">
      <c r="A37" s="264" t="s">
        <v>591</v>
      </c>
      <c r="B37" s="265"/>
      <c r="C37" s="266"/>
      <c r="D37" s="264">
        <v>2170102</v>
      </c>
      <c r="E37" s="264" t="s">
        <v>592</v>
      </c>
      <c r="F37" s="315" t="s">
        <v>217</v>
      </c>
      <c r="G37" s="268">
        <f>SUMIFS(ejec_ICPA!D:D,ejec_ICPA!B:B,vigencia!A37,ejec_ICPA!A:A,vigencia!E37)</f>
        <v>20000000</v>
      </c>
      <c r="H37" s="268">
        <f>SUMIFS(ejec_ICPA!E:E,ejec_ICPA!B:B,vigencia!A37,ejec_ICPA!A:A,vigencia!E37)</f>
        <v>0</v>
      </c>
      <c r="I37" s="268">
        <f>SUMIFS(ejec_ICPA!F:F,ejec_ICPA!B:B,vigencia!A37,ejec_ICPA!A:A,vigencia!E37)</f>
        <v>0</v>
      </c>
      <c r="J37" s="268">
        <f>SUMIFS(ejec_ICPA!G:G,ejec_ICPA!B:B,vigencia!A37,ejec_ICPA!A:A,vigencia!E37)</f>
        <v>0</v>
      </c>
      <c r="K37" s="268">
        <f>SUMIFS(ejec_ICPA!H:H,ejec_ICPA!B:B,vigencia!A37,ejec_ICPA!A:A,vigencia!E37)</f>
        <v>0</v>
      </c>
      <c r="L37" s="268">
        <f t="shared" si="102"/>
        <v>20000000</v>
      </c>
      <c r="M37" s="268">
        <f>SUMIFS(ejec_ICPA!K:K,ejec_ICPA!B:B,vigencia!A37,ejec_ICPA!A:A,vigencia!E37)</f>
        <v>0</v>
      </c>
      <c r="N37" s="268">
        <f>SUMIFS(ejec_ICPA!L:L,ejec_ICPA!B:B,vigencia!A37,ejec_ICPA!A:A,vigencia!E37)</f>
        <v>0</v>
      </c>
      <c r="O37" s="268">
        <f>SUMIFS(ejec_ICPA!J:J,ejec_ICPA!B:B,vigencia!A37,ejec_ICPA!A:A,vigencia!E37)</f>
        <v>0</v>
      </c>
      <c r="P37" s="268">
        <f>SUMIFS(ejec_ICPA!M:M,ejec_ICPA!B:B,vigencia!A37,ejec_ICPA!A:A,vigencia!E37)</f>
        <v>0</v>
      </c>
      <c r="Q37" s="269">
        <f t="shared" si="103"/>
        <v>20000000</v>
      </c>
      <c r="R37" s="270">
        <f t="shared" si="8"/>
        <v>0</v>
      </c>
      <c r="S37" s="271">
        <f t="shared" si="9"/>
        <v>0</v>
      </c>
      <c r="T37" s="268">
        <f>SUMIFS(ejec_ICPA!N:N,ejec_ICPA!B:B,vigencia!A37,ejec_ICPA!A:A,vigencia!E37)</f>
        <v>0</v>
      </c>
      <c r="U37" s="268">
        <f>SUMIFS(ejec_ICPA!O:O,ejec_ICPA!B:B,vigencia!A37,ejec_ICPA!A:A,vigencia!E37)</f>
        <v>0</v>
      </c>
      <c r="V37" s="268">
        <f>SUMIFS(ejec_ICPA!P:P,ejec_ICPA!B:B,vigencia!A37,ejec_ICPA!A:A,vigencia!E37)</f>
        <v>0</v>
      </c>
      <c r="W37" s="268">
        <f>SUMIFS(ejec_ICPA!Q:Q,ejec_ICPA!B:B,vigencia!A37,ejec_ICPA!A:A,vigencia!E37)</f>
        <v>0</v>
      </c>
      <c r="X37" s="272">
        <f t="shared" si="104"/>
        <v>0</v>
      </c>
      <c r="Y37" s="272">
        <f t="shared" si="104"/>
        <v>0</v>
      </c>
      <c r="Z37" s="272">
        <f t="shared" si="104"/>
        <v>0</v>
      </c>
    </row>
    <row r="38" spans="1:26" s="263" customFormat="1" x14ac:dyDescent="0.25">
      <c r="A38" s="257" t="s">
        <v>626</v>
      </c>
      <c r="B38" s="274"/>
      <c r="C38" s="275"/>
      <c r="D38" s="281" t="s">
        <v>670</v>
      </c>
      <c r="E38" s="281" t="s">
        <v>670</v>
      </c>
      <c r="F38" s="322"/>
      <c r="G38" s="277">
        <f>G39+G41</f>
        <v>32060000</v>
      </c>
      <c r="H38" s="277">
        <f t="shared" ref="H38:P38" si="105">H39+H41</f>
        <v>0</v>
      </c>
      <c r="I38" s="277">
        <f t="shared" si="105"/>
        <v>0</v>
      </c>
      <c r="J38" s="277">
        <f t="shared" si="105"/>
        <v>0</v>
      </c>
      <c r="K38" s="277">
        <f t="shared" si="105"/>
        <v>0</v>
      </c>
      <c r="L38" s="277">
        <f t="shared" si="105"/>
        <v>32060000</v>
      </c>
      <c r="M38" s="277">
        <f t="shared" si="105"/>
        <v>27992715</v>
      </c>
      <c r="N38" s="277">
        <f t="shared" si="105"/>
        <v>27992715</v>
      </c>
      <c r="O38" s="277">
        <f t="shared" si="105"/>
        <v>27992715</v>
      </c>
      <c r="P38" s="277">
        <f t="shared" si="105"/>
        <v>27992715</v>
      </c>
      <c r="Q38" s="277">
        <f t="shared" ref="Q38" si="106">Q39+Q41</f>
        <v>4067285</v>
      </c>
      <c r="R38" s="278">
        <f t="shared" si="8"/>
        <v>0.87313521522145976</v>
      </c>
      <c r="S38" s="278">
        <f t="shared" si="9"/>
        <v>0.87313521522145976</v>
      </c>
      <c r="T38" s="277">
        <f t="shared" ref="T38" si="107">T39+T41</f>
        <v>0</v>
      </c>
      <c r="U38" s="277">
        <f t="shared" ref="U38" si="108">U39+U41</f>
        <v>0</v>
      </c>
      <c r="V38" s="277">
        <f t="shared" ref="V38" si="109">V39+V41</f>
        <v>0</v>
      </c>
      <c r="W38" s="277">
        <f t="shared" ref="W38" si="110">W39+W41</f>
        <v>0</v>
      </c>
      <c r="X38" s="277">
        <f t="shared" ref="X38" si="111">X39+X41</f>
        <v>0</v>
      </c>
      <c r="Y38" s="277">
        <f t="shared" ref="Y38" si="112">Y39+Y41</f>
        <v>0</v>
      </c>
      <c r="Z38" s="277">
        <f t="shared" ref="Z38" si="113">Z39+Z41</f>
        <v>0</v>
      </c>
    </row>
    <row r="39" spans="1:26" s="263" customFormat="1" x14ac:dyDescent="0.25">
      <c r="A39" s="257" t="s">
        <v>754</v>
      </c>
      <c r="B39" s="274"/>
      <c r="C39" s="275"/>
      <c r="D39" s="281" t="s">
        <v>671</v>
      </c>
      <c r="E39" s="281" t="s">
        <v>671</v>
      </c>
      <c r="F39" s="322"/>
      <c r="G39" s="277">
        <f>SUM(G40)</f>
        <v>30000000</v>
      </c>
      <c r="H39" s="277">
        <f t="shared" ref="H39:P39" si="114">SUM(H40)</f>
        <v>0</v>
      </c>
      <c r="I39" s="277">
        <f t="shared" si="114"/>
        <v>0</v>
      </c>
      <c r="J39" s="277">
        <f t="shared" si="114"/>
        <v>0</v>
      </c>
      <c r="K39" s="277">
        <f t="shared" si="114"/>
        <v>0</v>
      </c>
      <c r="L39" s="277">
        <f t="shared" si="114"/>
        <v>30000000</v>
      </c>
      <c r="M39" s="277">
        <f t="shared" si="114"/>
        <v>27992715</v>
      </c>
      <c r="N39" s="277">
        <f t="shared" si="114"/>
        <v>27992715</v>
      </c>
      <c r="O39" s="277">
        <f t="shared" si="114"/>
        <v>27992715</v>
      </c>
      <c r="P39" s="277">
        <f t="shared" si="114"/>
        <v>27992715</v>
      </c>
      <c r="Q39" s="277">
        <f t="shared" ref="Q39" si="115">SUM(Q40)</f>
        <v>2007285</v>
      </c>
      <c r="R39" s="278">
        <f t="shared" si="8"/>
        <v>0.93309050000000004</v>
      </c>
      <c r="S39" s="278">
        <f t="shared" si="9"/>
        <v>0.93309050000000004</v>
      </c>
      <c r="T39" s="277">
        <f t="shared" ref="T39" si="116">SUM(T40)</f>
        <v>0</v>
      </c>
      <c r="U39" s="277">
        <f t="shared" ref="U39" si="117">SUM(U40)</f>
        <v>0</v>
      </c>
      <c r="V39" s="277">
        <f t="shared" ref="V39" si="118">SUM(V40)</f>
        <v>0</v>
      </c>
      <c r="W39" s="277">
        <f t="shared" ref="W39" si="119">SUM(W40)</f>
        <v>0</v>
      </c>
      <c r="X39" s="277">
        <f t="shared" ref="X39" si="120">SUM(X40)</f>
        <v>0</v>
      </c>
      <c r="Y39" s="277">
        <f t="shared" ref="Y39" si="121">SUM(Y40)</f>
        <v>0</v>
      </c>
      <c r="Z39" s="277">
        <f t="shared" ref="Z39" si="122">SUM(Z40)</f>
        <v>0</v>
      </c>
    </row>
    <row r="40" spans="1:26" x14ac:dyDescent="0.25">
      <c r="A40" s="264" t="s">
        <v>593</v>
      </c>
      <c r="B40" s="265">
        <v>999999</v>
      </c>
      <c r="C40" s="266"/>
      <c r="D40" s="264">
        <v>2180401</v>
      </c>
      <c r="E40" s="264" t="s">
        <v>594</v>
      </c>
      <c r="F40" s="315" t="s">
        <v>217</v>
      </c>
      <c r="G40" s="268">
        <f>SUMIFS(ejec_ICPA!D:D,ejec_ICPA!B:B,vigencia!A40,ejec_ICPA!A:A,vigencia!E40)</f>
        <v>30000000</v>
      </c>
      <c r="H40" s="268">
        <f>SUMIFS(ejec_ICPA!E:E,ejec_ICPA!B:B,vigencia!A40,ejec_ICPA!A:A,vigencia!E40)</f>
        <v>0</v>
      </c>
      <c r="I40" s="268">
        <f>SUMIFS(ejec_ICPA!F:F,ejec_ICPA!B:B,vigencia!A40,ejec_ICPA!A:A,vigencia!E40)</f>
        <v>0</v>
      </c>
      <c r="J40" s="268">
        <f>SUMIFS(ejec_ICPA!G:G,ejec_ICPA!B:B,vigencia!A40,ejec_ICPA!A:A,vigencia!E40)</f>
        <v>0</v>
      </c>
      <c r="K40" s="268">
        <f>SUMIFS(ejec_ICPA!H:H,ejec_ICPA!B:B,vigencia!A40,ejec_ICPA!A:A,vigencia!E40)</f>
        <v>0</v>
      </c>
      <c r="L40" s="268">
        <f>G40+H40-I40+J40-K40</f>
        <v>30000000</v>
      </c>
      <c r="M40" s="268">
        <f>SUMIFS(ejec_ICPA!K:K,ejec_ICPA!B:B,vigencia!A40,ejec_ICPA!A:A,vigencia!E40)</f>
        <v>27992715</v>
      </c>
      <c r="N40" s="268">
        <f>SUMIFS(ejec_ICPA!L:L,ejec_ICPA!B:B,vigencia!A40,ejec_ICPA!A:A,vigencia!E40)</f>
        <v>27992715</v>
      </c>
      <c r="O40" s="268">
        <f>SUMIFS(ejec_ICPA!J:J,ejec_ICPA!B:B,vigencia!A40,ejec_ICPA!A:A,vigencia!E40)</f>
        <v>27992715</v>
      </c>
      <c r="P40" s="268">
        <f>SUMIFS(ejec_ICPA!M:M,ejec_ICPA!B:B,vigencia!A40,ejec_ICPA!A:A,vigencia!E40)</f>
        <v>27992715</v>
      </c>
      <c r="Q40" s="269">
        <f>L40-N40</f>
        <v>2007285</v>
      </c>
      <c r="R40" s="270">
        <f t="shared" si="8"/>
        <v>0.93309050000000004</v>
      </c>
      <c r="S40" s="271">
        <f t="shared" si="9"/>
        <v>0.93309050000000004</v>
      </c>
      <c r="T40" s="268">
        <f>SUMIFS(ejec_ICPA!N:N,ejec_ICPA!B:B,vigencia!A40,ejec_ICPA!A:A,vigencia!E40)</f>
        <v>0</v>
      </c>
      <c r="U40" s="268">
        <f>SUMIFS(ejec_ICPA!O:O,ejec_ICPA!B:B,vigencia!A40,ejec_ICPA!A:A,vigencia!E40)</f>
        <v>0</v>
      </c>
      <c r="V40" s="268">
        <f>SUMIFS(ejec_ICPA!P:P,ejec_ICPA!B:B,vigencia!A40,ejec_ICPA!A:A,vigencia!E40)</f>
        <v>0</v>
      </c>
      <c r="W40" s="268">
        <f>SUMIFS(ejec_ICPA!Q:Q,ejec_ICPA!B:B,vigencia!A40,ejec_ICPA!A:A,vigencia!E40)</f>
        <v>0</v>
      </c>
      <c r="X40" s="272">
        <f>M40-N40</f>
        <v>0</v>
      </c>
      <c r="Y40" s="272">
        <f>N40-O40</f>
        <v>0</v>
      </c>
      <c r="Z40" s="272">
        <f>O40-P40</f>
        <v>0</v>
      </c>
    </row>
    <row r="41" spans="1:26" s="263" customFormat="1" x14ac:dyDescent="0.25">
      <c r="A41" s="257" t="s">
        <v>628</v>
      </c>
      <c r="B41" s="274"/>
      <c r="C41" s="275"/>
      <c r="D41" s="281" t="s">
        <v>672</v>
      </c>
      <c r="E41" s="281" t="s">
        <v>672</v>
      </c>
      <c r="F41" s="463">
        <v>0</v>
      </c>
      <c r="G41" s="277">
        <f>SUM(G42:G43)</f>
        <v>2060000</v>
      </c>
      <c r="H41" s="277">
        <f t="shared" ref="H41:P41" si="123">SUM(H42:H43)</f>
        <v>0</v>
      </c>
      <c r="I41" s="277">
        <f t="shared" si="123"/>
        <v>0</v>
      </c>
      <c r="J41" s="277">
        <f t="shared" si="123"/>
        <v>0</v>
      </c>
      <c r="K41" s="277">
        <f t="shared" si="123"/>
        <v>0</v>
      </c>
      <c r="L41" s="277">
        <f t="shared" si="123"/>
        <v>2060000</v>
      </c>
      <c r="M41" s="277">
        <f t="shared" si="123"/>
        <v>0</v>
      </c>
      <c r="N41" s="277">
        <f t="shared" si="123"/>
        <v>0</v>
      </c>
      <c r="O41" s="277">
        <f t="shared" si="123"/>
        <v>0</v>
      </c>
      <c r="P41" s="277">
        <f t="shared" si="123"/>
        <v>0</v>
      </c>
      <c r="Q41" s="277">
        <f t="shared" ref="Q41" si="124">SUM(Q42:Q43)</f>
        <v>2060000</v>
      </c>
      <c r="R41" s="278">
        <f t="shared" si="8"/>
        <v>0</v>
      </c>
      <c r="S41" s="278">
        <f t="shared" si="9"/>
        <v>0</v>
      </c>
      <c r="T41" s="277">
        <f t="shared" ref="T41" si="125">SUM(T42:T43)</f>
        <v>0</v>
      </c>
      <c r="U41" s="277">
        <f t="shared" ref="U41" si="126">SUM(U42:U43)</f>
        <v>0</v>
      </c>
      <c r="V41" s="277">
        <f t="shared" ref="V41" si="127">SUM(V42:V43)</f>
        <v>0</v>
      </c>
      <c r="W41" s="277">
        <f t="shared" ref="W41" si="128">SUM(W42:W43)</f>
        <v>0</v>
      </c>
      <c r="X41" s="277">
        <f t="shared" ref="X41" si="129">SUM(X42:X43)</f>
        <v>0</v>
      </c>
      <c r="Y41" s="277">
        <f t="shared" ref="Y41" si="130">SUM(Y42:Y43)</f>
        <v>0</v>
      </c>
      <c r="Z41" s="277">
        <f t="shared" ref="Z41" si="131">SUM(Z42:Z43)</f>
        <v>0</v>
      </c>
    </row>
    <row r="42" spans="1:26" x14ac:dyDescent="0.25">
      <c r="A42" s="264" t="s">
        <v>595</v>
      </c>
      <c r="B42" s="265">
        <v>999999</v>
      </c>
      <c r="C42" s="266"/>
      <c r="D42" s="264">
        <v>2180501001</v>
      </c>
      <c r="E42" s="264" t="s">
        <v>596</v>
      </c>
      <c r="F42" s="315" t="s">
        <v>217</v>
      </c>
      <c r="G42" s="268">
        <f>SUMIFS(ejec_ICPA!D:D,ejec_ICPA!B:B,vigencia!A42,ejec_ICPA!A:A,vigencia!E42)</f>
        <v>1860000</v>
      </c>
      <c r="H42" s="268">
        <f>SUMIFS(ejec_ICPA!E:E,ejec_ICPA!B:B,vigencia!A42,ejec_ICPA!A:A,vigencia!E42)</f>
        <v>0</v>
      </c>
      <c r="I42" s="268">
        <f>SUMIFS(ejec_ICPA!F:F,ejec_ICPA!B:B,vigencia!A42,ejec_ICPA!A:A,vigencia!E42)</f>
        <v>0</v>
      </c>
      <c r="J42" s="268">
        <f>SUMIFS(ejec_ICPA!G:G,ejec_ICPA!B:B,vigencia!A42,ejec_ICPA!A:A,vigencia!E42)</f>
        <v>0</v>
      </c>
      <c r="K42" s="268">
        <f>SUMIFS(ejec_ICPA!H:H,ejec_ICPA!B:B,vigencia!A42,ejec_ICPA!A:A,vigencia!E42)</f>
        <v>0</v>
      </c>
      <c r="L42" s="268">
        <f t="shared" ref="L42:L43" si="132">G42+H42-I42+J42-K42</f>
        <v>1860000</v>
      </c>
      <c r="M42" s="268">
        <f>SUMIFS(ejec_ICPA!K:K,ejec_ICPA!B:B,vigencia!A42,ejec_ICPA!A:A,vigencia!E42)</f>
        <v>0</v>
      </c>
      <c r="N42" s="268">
        <f>SUMIFS(ejec_ICPA!L:L,ejec_ICPA!B:B,vigencia!A42,ejec_ICPA!A:A,vigencia!E42)</f>
        <v>0</v>
      </c>
      <c r="O42" s="268">
        <f>SUMIFS(ejec_ICPA!J:J,ejec_ICPA!B:B,vigencia!A42,ejec_ICPA!A:A,vigencia!E42)</f>
        <v>0</v>
      </c>
      <c r="P42" s="268">
        <f>SUMIFS(ejec_ICPA!M:M,ejec_ICPA!B:B,vigencia!A42,ejec_ICPA!A:A,vigencia!E42)</f>
        <v>0</v>
      </c>
      <c r="Q42" s="269">
        <f t="shared" ref="Q42:Q43" si="133">L42-N42</f>
        <v>1860000</v>
      </c>
      <c r="R42" s="270">
        <f t="shared" si="8"/>
        <v>0</v>
      </c>
      <c r="S42" s="271">
        <f t="shared" si="9"/>
        <v>0</v>
      </c>
      <c r="T42" s="268">
        <f>SUMIFS(ejec_ICPA!N:N,ejec_ICPA!B:B,vigencia!A42,ejec_ICPA!A:A,vigencia!E42)</f>
        <v>0</v>
      </c>
      <c r="U42" s="268">
        <f>SUMIFS(ejec_ICPA!O:O,ejec_ICPA!B:B,vigencia!A42,ejec_ICPA!A:A,vigencia!E42)</f>
        <v>0</v>
      </c>
      <c r="V42" s="268">
        <f>SUMIFS(ejec_ICPA!P:P,ejec_ICPA!B:B,vigencia!A42,ejec_ICPA!A:A,vigencia!E42)</f>
        <v>0</v>
      </c>
      <c r="W42" s="268">
        <f>SUMIFS(ejec_ICPA!Q:Q,ejec_ICPA!B:B,vigencia!A42,ejec_ICPA!A:A,vigencia!E42)</f>
        <v>0</v>
      </c>
      <c r="X42" s="272">
        <f t="shared" ref="X42:X43" si="134">M42-N42</f>
        <v>0</v>
      </c>
      <c r="Y42" s="272">
        <f t="shared" ref="Y42:Y43" si="135">N42-O42</f>
        <v>0</v>
      </c>
      <c r="Z42" s="272">
        <f t="shared" ref="Z42:Z43" si="136">O42-P42</f>
        <v>0</v>
      </c>
    </row>
    <row r="43" spans="1:26" x14ac:dyDescent="0.25">
      <c r="A43" s="264" t="s">
        <v>597</v>
      </c>
      <c r="B43" s="265">
        <v>999999</v>
      </c>
      <c r="C43" s="266"/>
      <c r="D43" s="264">
        <v>2180502</v>
      </c>
      <c r="E43" s="264" t="s">
        <v>598</v>
      </c>
      <c r="F43" s="315" t="s">
        <v>217</v>
      </c>
      <c r="G43" s="268">
        <f>SUMIFS(ejec_ICPA!D:D,ejec_ICPA!B:B,vigencia!A43,ejec_ICPA!A:A,vigencia!E43)</f>
        <v>200000</v>
      </c>
      <c r="H43" s="268">
        <f>SUMIFS(ejec_ICPA!E:E,ejec_ICPA!B:B,vigencia!A43,ejec_ICPA!A:A,vigencia!E43)</f>
        <v>0</v>
      </c>
      <c r="I43" s="268">
        <f>SUMIFS(ejec_ICPA!F:F,ejec_ICPA!B:B,vigencia!A43,ejec_ICPA!A:A,vigencia!E43)</f>
        <v>0</v>
      </c>
      <c r="J43" s="268">
        <f>SUMIFS(ejec_ICPA!G:G,ejec_ICPA!B:B,vigencia!A43,ejec_ICPA!A:A,vigencia!E43)</f>
        <v>0</v>
      </c>
      <c r="K43" s="268">
        <f>SUMIFS(ejec_ICPA!H:H,ejec_ICPA!B:B,vigencia!A43,ejec_ICPA!A:A,vigencia!E43)</f>
        <v>0</v>
      </c>
      <c r="L43" s="268">
        <f t="shared" si="132"/>
        <v>200000</v>
      </c>
      <c r="M43" s="268">
        <f>SUMIFS(ejec_ICPA!K:K,ejec_ICPA!B:B,vigencia!A43,ejec_ICPA!A:A,vigencia!E43)</f>
        <v>0</v>
      </c>
      <c r="N43" s="268">
        <f>SUMIFS(ejec_ICPA!L:L,ejec_ICPA!B:B,vigencia!A43,ejec_ICPA!A:A,vigencia!E43)</f>
        <v>0</v>
      </c>
      <c r="O43" s="268">
        <f>SUMIFS(ejec_ICPA!J:J,ejec_ICPA!B:B,vigencia!A43,ejec_ICPA!A:A,vigencia!E43)</f>
        <v>0</v>
      </c>
      <c r="P43" s="268">
        <f>SUMIFS(ejec_ICPA!M:M,ejec_ICPA!B:B,vigencia!A43,ejec_ICPA!A:A,vigencia!E43)</f>
        <v>0</v>
      </c>
      <c r="Q43" s="269">
        <f t="shared" si="133"/>
        <v>200000</v>
      </c>
      <c r="R43" s="270">
        <f t="shared" si="8"/>
        <v>0</v>
      </c>
      <c r="S43" s="271">
        <f t="shared" si="9"/>
        <v>0</v>
      </c>
      <c r="T43" s="268">
        <f>SUMIFS(ejec_ICPA!N:N,ejec_ICPA!B:B,vigencia!A43,ejec_ICPA!A:A,vigencia!E43)</f>
        <v>0</v>
      </c>
      <c r="U43" s="268">
        <f>SUMIFS(ejec_ICPA!O:O,ejec_ICPA!B:B,vigencia!A43,ejec_ICPA!A:A,vigencia!E43)</f>
        <v>0</v>
      </c>
      <c r="V43" s="268">
        <f>SUMIFS(ejec_ICPA!P:P,ejec_ICPA!B:B,vigencia!A43,ejec_ICPA!A:A,vigencia!E43)</f>
        <v>0</v>
      </c>
      <c r="W43" s="268">
        <f>SUMIFS(ejec_ICPA!Q:Q,ejec_ICPA!B:B,vigencia!A43,ejec_ICPA!A:A,vigencia!E43)</f>
        <v>0</v>
      </c>
      <c r="X43" s="272">
        <f t="shared" si="134"/>
        <v>0</v>
      </c>
      <c r="Y43" s="272">
        <f t="shared" si="135"/>
        <v>0</v>
      </c>
      <c r="Z43" s="272">
        <f t="shared" si="136"/>
        <v>0</v>
      </c>
    </row>
    <row r="44" spans="1:26" s="287" customFormat="1" x14ac:dyDescent="0.25">
      <c r="A44" s="282" t="s">
        <v>718</v>
      </c>
      <c r="B44" s="283"/>
      <c r="C44" s="284"/>
      <c r="D44" s="282">
        <v>2.2999999999999998</v>
      </c>
      <c r="E44" s="282">
        <v>2.2999999999999998</v>
      </c>
      <c r="F44" s="323"/>
      <c r="G44" s="285">
        <f>G45</f>
        <v>7215252047</v>
      </c>
      <c r="H44" s="285">
        <f t="shared" ref="H44:P44" si="137">H45</f>
        <v>11119206983</v>
      </c>
      <c r="I44" s="285">
        <f t="shared" si="137"/>
        <v>701874892</v>
      </c>
      <c r="J44" s="285">
        <f>J45</f>
        <v>3564904714</v>
      </c>
      <c r="K44" s="285">
        <f t="shared" si="137"/>
        <v>3564904714</v>
      </c>
      <c r="L44" s="285">
        <f t="shared" si="137"/>
        <v>17632584138</v>
      </c>
      <c r="M44" s="285">
        <f t="shared" si="137"/>
        <v>12801767300</v>
      </c>
      <c r="N44" s="285">
        <f t="shared" si="137"/>
        <v>12801767300</v>
      </c>
      <c r="O44" s="285">
        <f t="shared" si="137"/>
        <v>12801767300</v>
      </c>
      <c r="P44" s="285">
        <f t="shared" si="137"/>
        <v>11236314185</v>
      </c>
      <c r="Q44" s="285">
        <f t="shared" ref="Q44" si="138">Q45</f>
        <v>4830816838</v>
      </c>
      <c r="R44" s="286">
        <f t="shared" si="8"/>
        <v>0.72602899267673981</v>
      </c>
      <c r="S44" s="286">
        <f t="shared" si="9"/>
        <v>0.6372471611114906</v>
      </c>
      <c r="T44" s="285">
        <f t="shared" ref="T44" si="139">T45</f>
        <v>-779017063</v>
      </c>
      <c r="U44" s="285">
        <f t="shared" ref="U44" si="140">U45</f>
        <v>0</v>
      </c>
      <c r="V44" s="285">
        <f t="shared" ref="V44" si="141">V45</f>
        <v>5701431493</v>
      </c>
      <c r="W44" s="285">
        <f t="shared" ref="W44" si="142">W45</f>
        <v>4131478378</v>
      </c>
      <c r="X44" s="285">
        <f t="shared" ref="X44" si="143">X45</f>
        <v>0</v>
      </c>
      <c r="Y44" s="285">
        <f t="shared" ref="Y44" si="144">Y45</f>
        <v>0</v>
      </c>
      <c r="Z44" s="285">
        <f t="shared" ref="Z44" si="145">Z45</f>
        <v>1565453115</v>
      </c>
    </row>
    <row r="45" spans="1:26" s="256" customFormat="1" x14ac:dyDescent="0.25">
      <c r="A45" s="252" t="s">
        <v>719</v>
      </c>
      <c r="B45" s="251"/>
      <c r="C45" s="252"/>
      <c r="D45" s="252" t="s">
        <v>730</v>
      </c>
      <c r="E45" s="252">
        <v>33</v>
      </c>
      <c r="F45" s="320"/>
      <c r="G45" s="254">
        <f t="shared" ref="G45:Q45" si="146">G46+G84</f>
        <v>7215252047</v>
      </c>
      <c r="H45" s="254">
        <f t="shared" si="146"/>
        <v>11119206983</v>
      </c>
      <c r="I45" s="254">
        <f t="shared" si="146"/>
        <v>701874892</v>
      </c>
      <c r="J45" s="254">
        <f t="shared" si="146"/>
        <v>3564904714</v>
      </c>
      <c r="K45" s="254">
        <f t="shared" si="146"/>
        <v>3564904714</v>
      </c>
      <c r="L45" s="254">
        <f t="shared" si="146"/>
        <v>17632584138</v>
      </c>
      <c r="M45" s="254">
        <f t="shared" si="146"/>
        <v>12801767300</v>
      </c>
      <c r="N45" s="254">
        <f t="shared" si="146"/>
        <v>12801767300</v>
      </c>
      <c r="O45" s="254">
        <f t="shared" si="146"/>
        <v>12801767300</v>
      </c>
      <c r="P45" s="254">
        <f t="shared" si="146"/>
        <v>11236314185</v>
      </c>
      <c r="Q45" s="254">
        <f t="shared" si="146"/>
        <v>4830816838</v>
      </c>
      <c r="R45" s="255">
        <f t="shared" si="8"/>
        <v>0.72602899267673981</v>
      </c>
      <c r="S45" s="255">
        <f t="shared" si="9"/>
        <v>0.6372471611114906</v>
      </c>
      <c r="T45" s="254">
        <f t="shared" ref="T45:Z45" si="147">T46+T84</f>
        <v>-779017063</v>
      </c>
      <c r="U45" s="254">
        <f t="shared" si="147"/>
        <v>0</v>
      </c>
      <c r="V45" s="254">
        <f t="shared" si="147"/>
        <v>5701431493</v>
      </c>
      <c r="W45" s="254">
        <f t="shared" si="147"/>
        <v>4131478378</v>
      </c>
      <c r="X45" s="254">
        <f t="shared" si="147"/>
        <v>0</v>
      </c>
      <c r="Y45" s="254">
        <f t="shared" si="147"/>
        <v>0</v>
      </c>
      <c r="Z45" s="254">
        <f t="shared" si="147"/>
        <v>1565453115</v>
      </c>
    </row>
    <row r="46" spans="1:26" s="263" customFormat="1" x14ac:dyDescent="0.25">
      <c r="A46" s="259" t="s">
        <v>720</v>
      </c>
      <c r="B46" s="274"/>
      <c r="C46" s="275"/>
      <c r="D46" s="288" t="s">
        <v>731</v>
      </c>
      <c r="E46" s="288">
        <v>3301</v>
      </c>
      <c r="F46" s="322"/>
      <c r="G46" s="277">
        <f t="shared" ref="G46:Q46" si="148">G47+G53+G63+G69</f>
        <v>5065864843</v>
      </c>
      <c r="H46" s="277">
        <f t="shared" si="148"/>
        <v>10215648327</v>
      </c>
      <c r="I46" s="277">
        <f t="shared" si="148"/>
        <v>0</v>
      </c>
      <c r="J46" s="277">
        <f t="shared" si="148"/>
        <v>1801149285</v>
      </c>
      <c r="K46" s="277">
        <f t="shared" si="148"/>
        <v>1569374784</v>
      </c>
      <c r="L46" s="277">
        <f t="shared" si="148"/>
        <v>15513287671</v>
      </c>
      <c r="M46" s="277">
        <f t="shared" si="148"/>
        <v>11272068427</v>
      </c>
      <c r="N46" s="277">
        <f t="shared" si="148"/>
        <v>11272068427</v>
      </c>
      <c r="O46" s="277">
        <f t="shared" si="148"/>
        <v>11272068427</v>
      </c>
      <c r="P46" s="277">
        <f t="shared" si="148"/>
        <v>10181603956</v>
      </c>
      <c r="Q46" s="277">
        <f t="shared" si="148"/>
        <v>4241219244</v>
      </c>
      <c r="R46" s="278">
        <f t="shared" si="8"/>
        <v>0.72660732309319653</v>
      </c>
      <c r="S46" s="278">
        <f t="shared" si="9"/>
        <v>0.65631503598254903</v>
      </c>
      <c r="T46" s="277">
        <f t="shared" ref="T46:Z46" si="149">T47+T53+T63+T69</f>
        <v>-465237588</v>
      </c>
      <c r="U46" s="277">
        <f t="shared" si="149"/>
        <v>0</v>
      </c>
      <c r="V46" s="277">
        <f t="shared" si="149"/>
        <v>4573228566</v>
      </c>
      <c r="W46" s="277">
        <f t="shared" si="149"/>
        <v>3478264095</v>
      </c>
      <c r="X46" s="277">
        <f t="shared" si="149"/>
        <v>0</v>
      </c>
      <c r="Y46" s="277">
        <f t="shared" si="149"/>
        <v>0</v>
      </c>
      <c r="Z46" s="277">
        <f t="shared" si="149"/>
        <v>1090464471</v>
      </c>
    </row>
    <row r="47" spans="1:26" s="296" customFormat="1" x14ac:dyDescent="0.25">
      <c r="A47" s="289" t="s">
        <v>721</v>
      </c>
      <c r="B47" s="290"/>
      <c r="C47" s="291"/>
      <c r="D47" s="292" t="s">
        <v>722</v>
      </c>
      <c r="E47" s="292" t="s">
        <v>722</v>
      </c>
      <c r="F47" s="324"/>
      <c r="G47" s="293">
        <f t="shared" ref="G47:Q47" si="150">SUM(G48:G52)</f>
        <v>2208657078</v>
      </c>
      <c r="H47" s="293">
        <f t="shared" si="150"/>
        <v>2401454810</v>
      </c>
      <c r="I47" s="293">
        <f t="shared" si="150"/>
        <v>0</v>
      </c>
      <c r="J47" s="293">
        <f t="shared" si="150"/>
        <v>153251837</v>
      </c>
      <c r="K47" s="293">
        <f t="shared" si="150"/>
        <v>45000000</v>
      </c>
      <c r="L47" s="293">
        <f t="shared" si="150"/>
        <v>4718363725</v>
      </c>
      <c r="M47" s="293">
        <f t="shared" si="150"/>
        <v>4051382667</v>
      </c>
      <c r="N47" s="293">
        <f t="shared" si="150"/>
        <v>4051382667</v>
      </c>
      <c r="O47" s="293">
        <f t="shared" si="150"/>
        <v>4051382667</v>
      </c>
      <c r="P47" s="293">
        <f t="shared" si="150"/>
        <v>3972670381</v>
      </c>
      <c r="Q47" s="293">
        <f t="shared" si="150"/>
        <v>666981058</v>
      </c>
      <c r="R47" s="294">
        <f t="shared" si="8"/>
        <v>0.85864144926639796</v>
      </c>
      <c r="S47" s="295">
        <f t="shared" si="9"/>
        <v>0.84195933432410408</v>
      </c>
      <c r="T47" s="293">
        <f t="shared" ref="T47:Z47" si="151">SUM(T48:T52)</f>
        <v>-93290061</v>
      </c>
      <c r="U47" s="293">
        <f t="shared" si="151"/>
        <v>0</v>
      </c>
      <c r="V47" s="293">
        <f t="shared" si="151"/>
        <v>1304658616</v>
      </c>
      <c r="W47" s="293">
        <f t="shared" si="151"/>
        <v>1225946330</v>
      </c>
      <c r="X47" s="293">
        <f t="shared" si="151"/>
        <v>0</v>
      </c>
      <c r="Y47" s="293">
        <f t="shared" si="151"/>
        <v>0</v>
      </c>
      <c r="Z47" s="293">
        <f t="shared" si="151"/>
        <v>78712286</v>
      </c>
    </row>
    <row r="48" spans="1:26" s="301" customFormat="1" x14ac:dyDescent="0.25">
      <c r="A48" s="297" t="s">
        <v>421</v>
      </c>
      <c r="B48" s="298" t="s">
        <v>755</v>
      </c>
      <c r="C48" s="299"/>
      <c r="D48" s="298" t="s">
        <v>752</v>
      </c>
      <c r="E48" s="300" t="s">
        <v>707</v>
      </c>
      <c r="F48" s="315" t="s">
        <v>908</v>
      </c>
      <c r="G48" s="268">
        <f>SUMIFS(ejec_ICPA!D:D,ejec_ICPA!B:B,vigencia!A48,ejec_ICPA!A:A,vigencia!E48)</f>
        <v>1025000000</v>
      </c>
      <c r="H48" s="268">
        <f>SUMIFS(ejec_ICPA!E:E,ejec_ICPA!B:B,vigencia!A48,ejec_ICPA!A:A,vigencia!E48)</f>
        <v>200000000</v>
      </c>
      <c r="I48" s="268">
        <f>SUMIFS(ejec_ICPA!F:F,ejec_ICPA!B:B,vigencia!A48,ejec_ICPA!A:A,vigencia!E48)</f>
        <v>0</v>
      </c>
      <c r="J48" s="268">
        <f>SUMIFS(ejec_ICPA!G:G,ejec_ICPA!B:B,vigencia!A48,ejec_ICPA!A:A,vigencia!E48)</f>
        <v>0</v>
      </c>
      <c r="K48" s="268">
        <f>SUMIFS(ejec_ICPA!H:H,ejec_ICPA!B:B,vigencia!A48,ejec_ICPA!A:A,vigencia!E48)</f>
        <v>0</v>
      </c>
      <c r="L48" s="268">
        <f t="shared" ref="L48:L51" si="152">G48+H48-I48+J48-K48</f>
        <v>1225000000</v>
      </c>
      <c r="M48" s="268">
        <f>SUMIFS(ejec_ICPA!K:K,ejec_ICPA!B:B,vigencia!A48,ejec_ICPA!A:A,vigencia!E48)</f>
        <v>1218443828</v>
      </c>
      <c r="N48" s="268">
        <f>SUMIFS(ejec_ICPA!L:L,ejec_ICPA!B:B,vigencia!A48,ejec_ICPA!A:A,vigencia!E48)</f>
        <v>1218443828</v>
      </c>
      <c r="O48" s="268">
        <f>SUMIFS(ejec_ICPA!J:J,ejec_ICPA!B:B,vigencia!A48,ejec_ICPA!A:A,vigencia!E48)</f>
        <v>1218443828</v>
      </c>
      <c r="P48" s="268">
        <f>SUMIFS(ejec_ICPA!M:M,ejec_ICPA!B:B,vigencia!A48,ejec_ICPA!A:A,vigencia!E48)</f>
        <v>1218443828</v>
      </c>
      <c r="Q48" s="269">
        <f t="shared" ref="Q48:Q51" si="153">L48-N48</f>
        <v>6556172</v>
      </c>
      <c r="R48" s="270">
        <f t="shared" si="8"/>
        <v>0.99464802285714282</v>
      </c>
      <c r="S48" s="271">
        <f t="shared" si="9"/>
        <v>0.99464802285714282</v>
      </c>
      <c r="T48" s="268">
        <f>SUMIFS(ejec_ICPA!N:N,ejec_ICPA!B:B,vigencia!A48,ejec_ICPA!A:A,vigencia!E48)</f>
        <v>-1556172</v>
      </c>
      <c r="U48" s="268">
        <f>SUMIFS(ejec_ICPA!O:O,ejec_ICPA!B:B,vigencia!A48,ejec_ICPA!A:A,vigencia!E48)</f>
        <v>0</v>
      </c>
      <c r="V48" s="268">
        <f>SUMIFS(ejec_ICPA!P:P,ejec_ICPA!B:B,vigencia!A48,ejec_ICPA!A:A,vigencia!E48)</f>
        <v>845476502</v>
      </c>
      <c r="W48" s="268">
        <f>SUMIFS(ejec_ICPA!Q:Q,ejec_ICPA!B:B,vigencia!A48,ejec_ICPA!A:A,vigencia!E48)</f>
        <v>845476502</v>
      </c>
      <c r="X48" s="272">
        <f t="shared" ref="X48:X51" si="154">M48-N48</f>
        <v>0</v>
      </c>
      <c r="Y48" s="272">
        <f t="shared" ref="Y48:Y51" si="155">N48-O48</f>
        <v>0</v>
      </c>
      <c r="Z48" s="272">
        <f t="shared" ref="Z48:Z51" si="156">O48-P48</f>
        <v>0</v>
      </c>
    </row>
    <row r="49" spans="1:26" s="301" customFormat="1" ht="13.2" x14ac:dyDescent="0.25">
      <c r="A49" s="297" t="s">
        <v>421</v>
      </c>
      <c r="B49" s="298" t="s">
        <v>755</v>
      </c>
      <c r="C49" s="299"/>
      <c r="D49" s="298" t="s">
        <v>752</v>
      </c>
      <c r="E49" t="s">
        <v>987</v>
      </c>
      <c r="F49" s="315" t="s">
        <v>986</v>
      </c>
      <c r="G49" s="268">
        <f>SUMIFS(ejec_ICPA!D:D,ejec_ICPA!B:B,vigencia!A49,ejec_ICPA!A:A,vigencia!E49)</f>
        <v>0</v>
      </c>
      <c r="H49" s="268">
        <f>SUMIFS(ejec_ICPA!E:E,ejec_ICPA!B:B,vigencia!A49,ejec_ICPA!A:A,vigencia!E49)</f>
        <v>1500000000</v>
      </c>
      <c r="I49" s="268">
        <f>SUMIFS(ejec_ICPA!F:F,ejec_ICPA!B:B,vigencia!A49,ejec_ICPA!A:A,vigencia!E49)</f>
        <v>0</v>
      </c>
      <c r="J49" s="268">
        <f>SUMIFS(ejec_ICPA!G:G,ejec_ICPA!B:B,vigencia!A49,ejec_ICPA!A:A,vigencia!E49)</f>
        <v>0</v>
      </c>
      <c r="K49" s="268">
        <f>SUMIFS(ejec_ICPA!H:H,ejec_ICPA!B:B,vigencia!A49,ejec_ICPA!A:A,vigencia!E49)</f>
        <v>0</v>
      </c>
      <c r="L49" s="268">
        <f t="shared" ref="L49" si="157">G49+H49-I49+J49-K49</f>
        <v>1500000000</v>
      </c>
      <c r="M49" s="268">
        <f>SUMIFS(ejec_ICPA!K:K,ejec_ICPA!B:B,vigencia!A49,ejec_ICPA!A:A,vigencia!E49)</f>
        <v>1500000000</v>
      </c>
      <c r="N49" s="268">
        <f>SUMIFS(ejec_ICPA!L:L,ejec_ICPA!B:B,vigencia!A49,ejec_ICPA!A:A,vigencia!E49)</f>
        <v>1500000000</v>
      </c>
      <c r="O49" s="268">
        <f>SUMIFS(ejec_ICPA!J:J,ejec_ICPA!B:B,vigencia!A49,ejec_ICPA!A:A,vigencia!E49)</f>
        <v>1500000000</v>
      </c>
      <c r="P49" s="268">
        <f>SUMIFS(ejec_ICPA!M:M,ejec_ICPA!B:B,vigencia!A49,ejec_ICPA!A:A,vigencia!E49)</f>
        <v>1500000000</v>
      </c>
      <c r="Q49" s="269">
        <f t="shared" ref="Q49" si="158">L49-N49</f>
        <v>0</v>
      </c>
      <c r="R49" s="270">
        <f t="shared" ref="R49" si="159">N49/L49</f>
        <v>1</v>
      </c>
      <c r="S49" s="271">
        <f t="shared" ref="S49" si="160">P49/L49</f>
        <v>1</v>
      </c>
      <c r="T49" s="268">
        <f>SUMIFS(ejec_ICPA!N:N,ejec_ICPA!B:B,vigencia!A49,ejec_ICPA!A:A,vigencia!E49)</f>
        <v>0</v>
      </c>
      <c r="U49" s="268">
        <f>SUMIFS(ejec_ICPA!O:O,ejec_ICPA!B:B,vigencia!A49,ejec_ICPA!A:A,vigencia!E49)</f>
        <v>0</v>
      </c>
      <c r="V49" s="268">
        <f>SUMIFS(ejec_ICPA!P:P,ejec_ICPA!B:B,vigencia!A49,ejec_ICPA!A:A,vigencia!E49)</f>
        <v>0</v>
      </c>
      <c r="W49" s="268">
        <f>SUMIFS(ejec_ICPA!Q:Q,ejec_ICPA!B:B,vigencia!A49,ejec_ICPA!A:A,vigencia!E49)</f>
        <v>0</v>
      </c>
      <c r="X49" s="272">
        <f t="shared" ref="X49" si="161">M49-N49</f>
        <v>0</v>
      </c>
      <c r="Y49" s="272">
        <f t="shared" ref="Y49" si="162">N49-O49</f>
        <v>0</v>
      </c>
      <c r="Z49" s="272">
        <f t="shared" ref="Z49" si="163">O49-P49</f>
        <v>0</v>
      </c>
    </row>
    <row r="50" spans="1:26" s="301" customFormat="1" x14ac:dyDescent="0.25">
      <c r="A50" s="297" t="s">
        <v>361</v>
      </c>
      <c r="B50" s="298" t="s">
        <v>756</v>
      </c>
      <c r="C50" s="299"/>
      <c r="D50" s="298" t="s">
        <v>752</v>
      </c>
      <c r="E50" s="264" t="s">
        <v>708</v>
      </c>
      <c r="F50" s="315" t="s">
        <v>909</v>
      </c>
      <c r="G50" s="268">
        <f>SUMIFS(ejec_ICPA!D:D,ejec_ICPA!B:B,vigencia!A50,ejec_ICPA!A:A,vigencia!E50)</f>
        <v>565376928</v>
      </c>
      <c r="H50" s="268">
        <f>SUMIFS(ejec_ICPA!E:E,ejec_ICPA!B:B,vigencia!A50,ejec_ICPA!A:A,vigencia!E50)</f>
        <v>100000000</v>
      </c>
      <c r="I50" s="268">
        <f>SUMIFS(ejec_ICPA!F:F,ejec_ICPA!B:B,vigencia!A50,ejec_ICPA!A:A,vigencia!E50)</f>
        <v>0</v>
      </c>
      <c r="J50" s="268">
        <f>SUMIFS(ejec_ICPA!G:G,ejec_ICPA!B:B,vigencia!A50,ejec_ICPA!A:A,vigencia!E50)</f>
        <v>0</v>
      </c>
      <c r="K50" s="268">
        <f>SUMIFS(ejec_ICPA!H:H,ejec_ICPA!B:B,vigencia!A50,ejec_ICPA!A:A,vigencia!E50)</f>
        <v>0</v>
      </c>
      <c r="L50" s="268">
        <f t="shared" si="152"/>
        <v>665376928</v>
      </c>
      <c r="M50" s="268">
        <f>SUMIFS(ejec_ICPA!K:K,ejec_ICPA!B:B,vigencia!A50,ejec_ICPA!A:A,vigencia!E50)</f>
        <v>478865573</v>
      </c>
      <c r="N50" s="268">
        <f>SUMIFS(ejec_ICPA!L:L,ejec_ICPA!B:B,vigencia!A50,ejec_ICPA!A:A,vigencia!E50)</f>
        <v>478865573</v>
      </c>
      <c r="O50" s="268">
        <f>SUMIFS(ejec_ICPA!J:J,ejec_ICPA!B:B,vigencia!A50,ejec_ICPA!A:A,vigencia!E50)</f>
        <v>478865573</v>
      </c>
      <c r="P50" s="268">
        <f>SUMIFS(ejec_ICPA!M:M,ejec_ICPA!B:B,vigencia!A50,ejec_ICPA!A:A,vigencia!E50)</f>
        <v>422113287</v>
      </c>
      <c r="Q50" s="269">
        <f t="shared" si="153"/>
        <v>186511355</v>
      </c>
      <c r="R50" s="270">
        <f t="shared" si="8"/>
        <v>0.71969067884481863</v>
      </c>
      <c r="S50" s="271">
        <f t="shared" si="9"/>
        <v>0.63439724047660395</v>
      </c>
      <c r="T50" s="268">
        <f>SUMIFS(ejec_ICPA!N:N,ejec_ICPA!B:B,vigencia!A50,ejec_ICPA!A:A,vigencia!E50)</f>
        <v>-20357087</v>
      </c>
      <c r="U50" s="268">
        <f>SUMIFS(ejec_ICPA!O:O,ejec_ICPA!B:B,vigencia!A50,ejec_ICPA!A:A,vigencia!E50)</f>
        <v>0</v>
      </c>
      <c r="V50" s="268">
        <f>SUMIFS(ejec_ICPA!P:P,ejec_ICPA!B:B,vigencia!A50,ejec_ICPA!A:A,vigencia!E50)</f>
        <v>235455514</v>
      </c>
      <c r="W50" s="268">
        <f>SUMIFS(ejec_ICPA!Q:Q,ejec_ICPA!B:B,vigencia!A50,ejec_ICPA!A:A,vigencia!E50)</f>
        <v>178703228</v>
      </c>
      <c r="X50" s="272">
        <f t="shared" si="154"/>
        <v>0</v>
      </c>
      <c r="Y50" s="272">
        <f t="shared" si="155"/>
        <v>0</v>
      </c>
      <c r="Z50" s="272">
        <f t="shared" si="156"/>
        <v>56752286</v>
      </c>
    </row>
    <row r="51" spans="1:26" s="301" customFormat="1" x14ac:dyDescent="0.25">
      <c r="A51" s="297" t="s">
        <v>361</v>
      </c>
      <c r="B51" s="298" t="s">
        <v>756</v>
      </c>
      <c r="C51" s="299"/>
      <c r="D51" s="298" t="s">
        <v>752</v>
      </c>
      <c r="E51" s="264" t="s">
        <v>709</v>
      </c>
      <c r="F51" s="316" t="s">
        <v>910</v>
      </c>
      <c r="G51" s="268">
        <f>SUMIFS(ejec_ICPA!D:D,ejec_ICPA!B:B,vigencia!A51,ejec_ICPA!A:A,vigencia!E51)</f>
        <v>618280150</v>
      </c>
      <c r="H51" s="268">
        <f>SUMIFS(ejec_ICPA!E:E,ejec_ICPA!B:B,vigencia!A51,ejec_ICPA!A:A,vigencia!E51)</f>
        <v>1306167</v>
      </c>
      <c r="I51" s="268">
        <f>SUMIFS(ejec_ICPA!F:F,ejec_ICPA!B:B,vigencia!A51,ejec_ICPA!A:A,vigencia!E51)</f>
        <v>0</v>
      </c>
      <c r="J51" s="268">
        <f>SUMIFS(ejec_ICPA!G:G,ejec_ICPA!B:B,vigencia!A51,ejec_ICPA!A:A,vigencia!E51)</f>
        <v>0</v>
      </c>
      <c r="K51" s="268">
        <f>SUMIFS(ejec_ICPA!H:H,ejec_ICPA!B:B,vigencia!A51,ejec_ICPA!A:A,vigencia!E51)</f>
        <v>0</v>
      </c>
      <c r="L51" s="268">
        <f t="shared" si="152"/>
        <v>619586317</v>
      </c>
      <c r="M51" s="268">
        <f>SUMIFS(ejec_ICPA!K:K,ejec_ICPA!B:B,vigencia!A51,ejec_ICPA!A:A,vigencia!E51)</f>
        <v>394049989</v>
      </c>
      <c r="N51" s="268">
        <f>SUMIFS(ejec_ICPA!L:L,ejec_ICPA!B:B,vigencia!A51,ejec_ICPA!A:A,vigencia!E51)</f>
        <v>394049989</v>
      </c>
      <c r="O51" s="268">
        <f>SUMIFS(ejec_ICPA!J:J,ejec_ICPA!B:B,vigencia!A51,ejec_ICPA!A:A,vigencia!E51)</f>
        <v>394049989</v>
      </c>
      <c r="P51" s="268">
        <f>SUMIFS(ejec_ICPA!M:M,ejec_ICPA!B:B,vigencia!A51,ejec_ICPA!A:A,vigencia!E51)</f>
        <v>372089989</v>
      </c>
      <c r="Q51" s="269">
        <f t="shared" si="153"/>
        <v>225536328</v>
      </c>
      <c r="R51" s="270">
        <f t="shared" si="8"/>
        <v>0.63598884963755586</v>
      </c>
      <c r="S51" s="271">
        <f t="shared" si="9"/>
        <v>0.60054584614075657</v>
      </c>
      <c r="T51" s="268">
        <f>SUMIFS(ejec_ICPA!N:N,ejec_ICPA!B:B,vigencia!A51,ejec_ICPA!A:A,vigencia!E51)</f>
        <v>-9913180</v>
      </c>
      <c r="U51" s="268">
        <f>SUMIFS(ejec_ICPA!O:O,ejec_ICPA!B:B,vigencia!A51,ejec_ICPA!A:A,vigencia!E51)</f>
        <v>0</v>
      </c>
      <c r="V51" s="268">
        <f>SUMIFS(ejec_ICPA!P:P,ejec_ICPA!B:B,vigencia!A51,ejec_ICPA!A:A,vigencia!E51)</f>
        <v>145026600</v>
      </c>
      <c r="W51" s="268">
        <f>SUMIFS(ejec_ICPA!Q:Q,ejec_ICPA!B:B,vigencia!A51,ejec_ICPA!A:A,vigencia!E51)</f>
        <v>123066600</v>
      </c>
      <c r="X51" s="272">
        <f t="shared" si="154"/>
        <v>0</v>
      </c>
      <c r="Y51" s="272">
        <f t="shared" si="155"/>
        <v>0</v>
      </c>
      <c r="Z51" s="272">
        <f t="shared" si="156"/>
        <v>21960000</v>
      </c>
    </row>
    <row r="52" spans="1:26" s="301" customFormat="1" x14ac:dyDescent="0.25">
      <c r="A52" s="297" t="s">
        <v>361</v>
      </c>
      <c r="B52" s="298" t="s">
        <v>756</v>
      </c>
      <c r="C52" s="299"/>
      <c r="D52" s="298" t="s">
        <v>752</v>
      </c>
      <c r="E52" s="302" t="s">
        <v>888</v>
      </c>
      <c r="F52" s="316" t="s">
        <v>911</v>
      </c>
      <c r="G52" s="268">
        <f>SUMIFS(ejec_ICPA!D:D,ejec_ICPA!B:B,vigencia!A52,ejec_ICPA!A:A,vigencia!E52)</f>
        <v>0</v>
      </c>
      <c r="H52" s="268">
        <f>SUMIFS(ejec_ICPA!E:E,ejec_ICPA!B:B,vigencia!A52,ejec_ICPA!A:A,vigencia!E52)</f>
        <v>600148643</v>
      </c>
      <c r="I52" s="268">
        <f>SUMIFS(ejec_ICPA!F:F,ejec_ICPA!B:B,vigencia!A52,ejec_ICPA!A:A,vigencia!E52)</f>
        <v>0</v>
      </c>
      <c r="J52" s="268">
        <f>SUMIFS(ejec_ICPA!G:G,ejec_ICPA!B:B,vigencia!A52,ejec_ICPA!A:A,vigencia!E52)</f>
        <v>153251837</v>
      </c>
      <c r="K52" s="268">
        <f>SUMIFS(ejec_ICPA!H:H,ejec_ICPA!B:B,vigencia!A52,ejec_ICPA!A:A,vigencia!E52)</f>
        <v>45000000</v>
      </c>
      <c r="L52" s="268">
        <f t="shared" ref="L52" si="164">G52+H52-I52+J52-K52</f>
        <v>708400480</v>
      </c>
      <c r="M52" s="268">
        <f>SUMIFS(ejec_ICPA!K:K,ejec_ICPA!B:B,vigencia!A52,ejec_ICPA!A:A,vigencia!E52)</f>
        <v>460023277</v>
      </c>
      <c r="N52" s="268">
        <f>SUMIFS(ejec_ICPA!L:L,ejec_ICPA!B:B,vigencia!A52,ejec_ICPA!A:A,vigencia!E52)</f>
        <v>460023277</v>
      </c>
      <c r="O52" s="268">
        <f>SUMIFS(ejec_ICPA!J:J,ejec_ICPA!B:B,vigencia!A52,ejec_ICPA!A:A,vigencia!E52)</f>
        <v>460023277</v>
      </c>
      <c r="P52" s="268">
        <f>SUMIFS(ejec_ICPA!M:M,ejec_ICPA!B:B,vigencia!A52,ejec_ICPA!A:A,vigencia!E52)</f>
        <v>460023277</v>
      </c>
      <c r="Q52" s="269">
        <f t="shared" ref="Q52" si="165">L52-N52</f>
        <v>248377203</v>
      </c>
      <c r="R52" s="270">
        <f t="shared" ref="R52" si="166">N52/L52</f>
        <v>0.64938306789402511</v>
      </c>
      <c r="S52" s="271">
        <f t="shared" ref="S52" si="167">P52/L52</f>
        <v>0.64938306789402511</v>
      </c>
      <c r="T52" s="268">
        <f>SUMIFS(ejec_ICPA!N:N,ejec_ICPA!B:B,vigencia!A52,ejec_ICPA!A:A,vigencia!E52)</f>
        <v>-61463622</v>
      </c>
      <c r="U52" s="268">
        <f>SUMIFS(ejec_ICPA!O:O,ejec_ICPA!B:B,vigencia!A52,ejec_ICPA!A:A,vigencia!E52)</f>
        <v>0</v>
      </c>
      <c r="V52" s="268">
        <f>SUMIFS(ejec_ICPA!P:P,ejec_ICPA!B:B,vigencia!A52,ejec_ICPA!A:A,vigencia!E52)</f>
        <v>78700000</v>
      </c>
      <c r="W52" s="268">
        <f>SUMIFS(ejec_ICPA!Q:Q,ejec_ICPA!B:B,vigencia!A52,ejec_ICPA!A:A,vigencia!E52)</f>
        <v>78700000</v>
      </c>
      <c r="X52" s="272">
        <f t="shared" ref="X52" si="168">M52-N52</f>
        <v>0</v>
      </c>
      <c r="Y52" s="272">
        <f t="shared" ref="Y52" si="169">N52-O52</f>
        <v>0</v>
      </c>
      <c r="Z52" s="272">
        <f t="shared" ref="Z52" si="170">O52-P52</f>
        <v>0</v>
      </c>
    </row>
    <row r="53" spans="1:26" s="296" customFormat="1" x14ac:dyDescent="0.25">
      <c r="A53" s="289" t="s">
        <v>723</v>
      </c>
      <c r="B53" s="290"/>
      <c r="C53" s="291"/>
      <c r="D53" s="292" t="s">
        <v>732</v>
      </c>
      <c r="E53" s="292" t="s">
        <v>732</v>
      </c>
      <c r="F53" s="324"/>
      <c r="G53" s="293">
        <f>SUM(G54:G62)</f>
        <v>1862041310</v>
      </c>
      <c r="H53" s="293">
        <f t="shared" ref="H53:Q53" si="171">SUM(H54:H62)</f>
        <v>5273329194</v>
      </c>
      <c r="I53" s="293">
        <f t="shared" si="171"/>
        <v>0</v>
      </c>
      <c r="J53" s="293">
        <f t="shared" si="171"/>
        <v>331000000</v>
      </c>
      <c r="K53" s="293">
        <f t="shared" si="171"/>
        <v>439251837</v>
      </c>
      <c r="L53" s="293">
        <f t="shared" si="171"/>
        <v>7027118667</v>
      </c>
      <c r="M53" s="293">
        <f t="shared" si="171"/>
        <v>4757281787</v>
      </c>
      <c r="N53" s="293">
        <f t="shared" si="171"/>
        <v>4757281787</v>
      </c>
      <c r="O53" s="293">
        <f t="shared" si="171"/>
        <v>4757281787</v>
      </c>
      <c r="P53" s="293">
        <f t="shared" si="171"/>
        <v>4751281787</v>
      </c>
      <c r="Q53" s="293">
        <f t="shared" si="171"/>
        <v>2269836880</v>
      </c>
      <c r="R53" s="294">
        <f t="shared" si="8"/>
        <v>0.67698896410283149</v>
      </c>
      <c r="S53" s="295">
        <f t="shared" si="9"/>
        <v>0.67613512908391016</v>
      </c>
      <c r="T53" s="293">
        <f t="shared" ref="T53:Z53" si="172">SUM(T54:T62)</f>
        <v>-115359435</v>
      </c>
      <c r="U53" s="293">
        <f t="shared" si="172"/>
        <v>0</v>
      </c>
      <c r="V53" s="293">
        <f t="shared" si="172"/>
        <v>1726083124</v>
      </c>
      <c r="W53" s="293">
        <f t="shared" si="172"/>
        <v>1715583124</v>
      </c>
      <c r="X53" s="293">
        <f t="shared" si="172"/>
        <v>0</v>
      </c>
      <c r="Y53" s="293">
        <f t="shared" si="172"/>
        <v>0</v>
      </c>
      <c r="Z53" s="293">
        <f t="shared" si="172"/>
        <v>6000000</v>
      </c>
    </row>
    <row r="54" spans="1:26" s="301" customFormat="1" x14ac:dyDescent="0.25">
      <c r="A54" s="297" t="s">
        <v>434</v>
      </c>
      <c r="B54" s="298" t="s">
        <v>758</v>
      </c>
      <c r="C54" s="299"/>
      <c r="D54" s="298" t="s">
        <v>752</v>
      </c>
      <c r="E54" s="264" t="s">
        <v>717</v>
      </c>
      <c r="F54" s="315" t="s">
        <v>902</v>
      </c>
      <c r="G54" s="268">
        <f>SUMIFS(ejec_ICPA!D:D,ejec_ICPA!B:B,vigencia!A54,ejec_ICPA!A:A,vigencia!E54)</f>
        <v>50000000</v>
      </c>
      <c r="H54" s="268">
        <f>SUMIFS(ejec_ICPA!E:E,ejec_ICPA!B:B,vigencia!A54,ejec_ICPA!A:A,vigencia!E54)</f>
        <v>0</v>
      </c>
      <c r="I54" s="268">
        <f>SUMIFS(ejec_ICPA!F:F,ejec_ICPA!B:B,vigencia!A54,ejec_ICPA!A:A,vigencia!E54)</f>
        <v>0</v>
      </c>
      <c r="J54" s="268">
        <f>SUMIFS(ejec_ICPA!G:G,ejec_ICPA!B:B,vigencia!A54,ejec_ICPA!A:A,vigencia!E54)</f>
        <v>0</v>
      </c>
      <c r="K54" s="268">
        <f>SUMIFS(ejec_ICPA!H:H,ejec_ICPA!B:B,vigencia!A54,ejec_ICPA!A:A,vigencia!E54)</f>
        <v>0</v>
      </c>
      <c r="L54" s="268">
        <f t="shared" ref="L54:L58" si="173">G54+H54-I54+J54-K54</f>
        <v>50000000</v>
      </c>
      <c r="M54" s="268">
        <f>SUMIFS(ejec_ICPA!K:K,ejec_ICPA!B:B,vigencia!A54,ejec_ICPA!A:A,vigencia!E54)</f>
        <v>35592848</v>
      </c>
      <c r="N54" s="268">
        <f>SUMIFS(ejec_ICPA!L:L,ejec_ICPA!B:B,vigencia!A54,ejec_ICPA!A:A,vigencia!E54)</f>
        <v>35592848</v>
      </c>
      <c r="O54" s="268">
        <f>SUMIFS(ejec_ICPA!J:J,ejec_ICPA!B:B,vigencia!A54,ejec_ICPA!A:A,vigencia!E54)</f>
        <v>35592848</v>
      </c>
      <c r="P54" s="268">
        <f>SUMIFS(ejec_ICPA!M:M,ejec_ICPA!B:B,vigencia!A54,ejec_ICPA!A:A,vigencia!E54)</f>
        <v>35592848</v>
      </c>
      <c r="Q54" s="269">
        <f t="shared" ref="Q54:Q58" si="174">L54-N54</f>
        <v>14407152</v>
      </c>
      <c r="R54" s="270">
        <f t="shared" si="8"/>
        <v>0.71185695999999998</v>
      </c>
      <c r="S54" s="271">
        <f t="shared" si="9"/>
        <v>0.71185695999999998</v>
      </c>
      <c r="T54" s="268">
        <f>SUMIFS(ejec_ICPA!N:N,ejec_ICPA!B:B,vigencia!A54,ejec_ICPA!A:A,vigencia!E54)</f>
        <v>-8898211</v>
      </c>
      <c r="U54" s="268">
        <f>SUMIFS(ejec_ICPA!O:O,ejec_ICPA!B:B,vigencia!A54,ejec_ICPA!A:A,vigencia!E54)</f>
        <v>0</v>
      </c>
      <c r="V54" s="268">
        <f>SUMIFS(ejec_ICPA!P:P,ejec_ICPA!B:B,vigencia!A54,ejec_ICPA!A:A,vigencia!E54)</f>
        <v>0</v>
      </c>
      <c r="W54" s="268">
        <f>SUMIFS(ejec_ICPA!Q:Q,ejec_ICPA!B:B,vigencia!A54,ejec_ICPA!A:A,vigencia!E54)</f>
        <v>0</v>
      </c>
      <c r="X54" s="272">
        <f t="shared" ref="X54:X58" si="175">M54-N54</f>
        <v>0</v>
      </c>
      <c r="Y54" s="272">
        <f t="shared" ref="Y54:Y58" si="176">N54-O54</f>
        <v>0</v>
      </c>
      <c r="Z54" s="272">
        <f t="shared" ref="Z54:Z58" si="177">O54-P54</f>
        <v>0</v>
      </c>
    </row>
    <row r="55" spans="1:26" s="301" customFormat="1" x14ac:dyDescent="0.25">
      <c r="A55" s="297" t="s">
        <v>434</v>
      </c>
      <c r="B55" s="298" t="s">
        <v>758</v>
      </c>
      <c r="C55" s="299"/>
      <c r="D55" s="298" t="s">
        <v>752</v>
      </c>
      <c r="E55" s="264" t="s">
        <v>716</v>
      </c>
      <c r="F55" s="315" t="s">
        <v>902</v>
      </c>
      <c r="G55" s="268">
        <f>SUMIFS(ejec_ICPA!D:D,ejec_ICPA!B:B,vigencia!A55,ejec_ICPA!A:A,vigencia!E55)</f>
        <v>850000000</v>
      </c>
      <c r="H55" s="268">
        <f>SUMIFS(ejec_ICPA!E:E,ejec_ICPA!B:B,vigencia!A55,ejec_ICPA!A:A,vigencia!E55)</f>
        <v>0</v>
      </c>
      <c r="I55" s="268">
        <f>SUMIFS(ejec_ICPA!F:F,ejec_ICPA!B:B,vigencia!A55,ejec_ICPA!A:A,vigencia!E55)</f>
        <v>0</v>
      </c>
      <c r="J55" s="268">
        <f>SUMIFS(ejec_ICPA!G:G,ejec_ICPA!B:B,vigencia!A55,ejec_ICPA!A:A,vigencia!E55)</f>
        <v>0</v>
      </c>
      <c r="K55" s="268">
        <f>SUMIFS(ejec_ICPA!H:H,ejec_ICPA!B:B,vigencia!A55,ejec_ICPA!A:A,vigencia!E55)</f>
        <v>0</v>
      </c>
      <c r="L55" s="268">
        <f t="shared" si="173"/>
        <v>850000000</v>
      </c>
      <c r="M55" s="268">
        <f>SUMIFS(ejec_ICPA!K:K,ejec_ICPA!B:B,vigencia!A55,ejec_ICPA!A:A,vigencia!E55)</f>
        <v>850000000</v>
      </c>
      <c r="N55" s="268">
        <f>SUMIFS(ejec_ICPA!L:L,ejec_ICPA!B:B,vigencia!A55,ejec_ICPA!A:A,vigencia!E55)</f>
        <v>850000000</v>
      </c>
      <c r="O55" s="268">
        <f>SUMIFS(ejec_ICPA!J:J,ejec_ICPA!B:B,vigencia!A55,ejec_ICPA!A:A,vigencia!E55)</f>
        <v>850000000</v>
      </c>
      <c r="P55" s="268">
        <f>SUMIFS(ejec_ICPA!M:M,ejec_ICPA!B:B,vigencia!A55,ejec_ICPA!A:A,vigencia!E55)</f>
        <v>850000000</v>
      </c>
      <c r="Q55" s="269">
        <f t="shared" si="174"/>
        <v>0</v>
      </c>
      <c r="R55" s="270">
        <f t="shared" si="8"/>
        <v>1</v>
      </c>
      <c r="S55" s="271">
        <f t="shared" si="9"/>
        <v>1</v>
      </c>
      <c r="T55" s="268">
        <f>SUMIFS(ejec_ICPA!N:N,ejec_ICPA!B:B,vigencia!A55,ejec_ICPA!A:A,vigencia!E55)</f>
        <v>0</v>
      </c>
      <c r="U55" s="268">
        <f>SUMIFS(ejec_ICPA!O:O,ejec_ICPA!B:B,vigencia!A55,ejec_ICPA!A:A,vigencia!E55)</f>
        <v>0</v>
      </c>
      <c r="V55" s="268">
        <f>SUMIFS(ejec_ICPA!P:P,ejec_ICPA!B:B,vigencia!A55,ejec_ICPA!A:A,vigencia!E55)</f>
        <v>722980000</v>
      </c>
      <c r="W55" s="268">
        <f>SUMIFS(ejec_ICPA!Q:Q,ejec_ICPA!B:B,vigencia!A55,ejec_ICPA!A:A,vigencia!E55)</f>
        <v>722980000</v>
      </c>
      <c r="X55" s="272">
        <f t="shared" si="175"/>
        <v>0</v>
      </c>
      <c r="Y55" s="272">
        <f t="shared" si="176"/>
        <v>0</v>
      </c>
      <c r="Z55" s="272">
        <f t="shared" si="177"/>
        <v>0</v>
      </c>
    </row>
    <row r="56" spans="1:26" s="301" customFormat="1" ht="13.8" x14ac:dyDescent="0.3">
      <c r="A56" s="297" t="s">
        <v>434</v>
      </c>
      <c r="B56" s="298" t="s">
        <v>758</v>
      </c>
      <c r="C56" s="299"/>
      <c r="D56" s="298" t="s">
        <v>752</v>
      </c>
      <c r="E56" s="303" t="s">
        <v>894</v>
      </c>
      <c r="F56" s="315" t="s">
        <v>903</v>
      </c>
      <c r="G56" s="268">
        <f>SUMIFS(ejec_ICPA!D:D,ejec_ICPA!B:B,vigencia!A56,ejec_ICPA!A:A,vigencia!E56)</f>
        <v>0</v>
      </c>
      <c r="H56" s="268">
        <f>SUMIFS(ejec_ICPA!E:E,ejec_ICPA!B:B,vigencia!A56,ejec_ICPA!A:A,vigencia!E56)</f>
        <v>2465000000</v>
      </c>
      <c r="I56" s="268">
        <f>SUMIFS(ejec_ICPA!F:F,ejec_ICPA!B:B,vigencia!A56,ejec_ICPA!A:A,vigencia!E56)</f>
        <v>0</v>
      </c>
      <c r="J56" s="268">
        <f>SUMIFS(ejec_ICPA!G:G,ejec_ICPA!B:B,vigencia!A56,ejec_ICPA!A:A,vigencia!E56)</f>
        <v>0</v>
      </c>
      <c r="K56" s="268">
        <f>SUMIFS(ejec_ICPA!H:H,ejec_ICPA!B:B,vigencia!A56,ejec_ICPA!A:A,vigencia!E56)</f>
        <v>55000000</v>
      </c>
      <c r="L56" s="268">
        <f t="shared" ref="L56:L57" si="178">G56+H56-I56+J56-K56</f>
        <v>2410000000</v>
      </c>
      <c r="M56" s="268">
        <f>SUMIFS(ejec_ICPA!K:K,ejec_ICPA!B:B,vigencia!A56,ejec_ICPA!A:A,vigencia!E56)</f>
        <v>795000000</v>
      </c>
      <c r="N56" s="268">
        <f>SUMIFS(ejec_ICPA!L:L,ejec_ICPA!B:B,vigencia!A56,ejec_ICPA!A:A,vigencia!E56)</f>
        <v>795000000</v>
      </c>
      <c r="O56" s="268">
        <f>SUMIFS(ejec_ICPA!J:J,ejec_ICPA!B:B,vigencia!A56,ejec_ICPA!A:A,vigencia!E56)</f>
        <v>795000000</v>
      </c>
      <c r="P56" s="268">
        <f>SUMIFS(ejec_ICPA!M:M,ejec_ICPA!B:B,vigencia!A56,ejec_ICPA!A:A,vigencia!E56)</f>
        <v>795000000</v>
      </c>
      <c r="Q56" s="269">
        <f t="shared" ref="Q56:Q57" si="179">L56-N56</f>
        <v>1615000000</v>
      </c>
      <c r="R56" s="270">
        <f t="shared" ref="R56:R57" si="180">N56/L56</f>
        <v>0.32987551867219916</v>
      </c>
      <c r="S56" s="271">
        <f t="shared" ref="S56:S57" si="181">P56/L56</f>
        <v>0.32987551867219916</v>
      </c>
      <c r="T56" s="268">
        <f>SUMIFS(ejec_ICPA!N:N,ejec_ICPA!B:B,vigencia!A56,ejec_ICPA!A:A,vigencia!E56)</f>
        <v>0</v>
      </c>
      <c r="U56" s="268">
        <f>SUMIFS(ejec_ICPA!O:O,ejec_ICPA!B:B,vigencia!A56,ejec_ICPA!A:A,vigencia!E56)</f>
        <v>0</v>
      </c>
      <c r="V56" s="268">
        <f>SUMIFS(ejec_ICPA!P:P,ejec_ICPA!B:B,vigencia!A56,ejec_ICPA!A:A,vigencia!E56)</f>
        <v>289190227</v>
      </c>
      <c r="W56" s="268">
        <f>SUMIFS(ejec_ICPA!Q:Q,ejec_ICPA!B:B,vigencia!A56,ejec_ICPA!A:A,vigencia!E56)</f>
        <v>289190227</v>
      </c>
      <c r="X56" s="272">
        <f t="shared" ref="X56:X57" si="182">M56-N56</f>
        <v>0</v>
      </c>
      <c r="Y56" s="272">
        <f t="shared" ref="Y56:Y57" si="183">N56-O56</f>
        <v>0</v>
      </c>
      <c r="Z56" s="272">
        <f t="shared" ref="Z56:Z57" si="184">O56-P56</f>
        <v>0</v>
      </c>
    </row>
    <row r="57" spans="1:26" s="301" customFormat="1" x14ac:dyDescent="0.25">
      <c r="A57" s="297" t="s">
        <v>384</v>
      </c>
      <c r="B57" s="298" t="s">
        <v>757</v>
      </c>
      <c r="C57" s="299"/>
      <c r="D57" s="298" t="s">
        <v>752</v>
      </c>
      <c r="E57" s="264" t="s">
        <v>710</v>
      </c>
      <c r="F57" s="315" t="s">
        <v>904</v>
      </c>
      <c r="G57" s="268">
        <f>SUMIFS(ejec_ICPA!D:D,ejec_ICPA!B:B,vigencia!A57,ejec_ICPA!A:A,vigencia!E57)</f>
        <v>530937618</v>
      </c>
      <c r="H57" s="268">
        <f>SUMIFS(ejec_ICPA!E:E,ejec_ICPA!B:B,vigencia!A57,ejec_ICPA!A:A,vigencia!E57)</f>
        <v>100000000</v>
      </c>
      <c r="I57" s="268">
        <f>SUMIFS(ejec_ICPA!F:F,ejec_ICPA!B:B,vigencia!A57,ejec_ICPA!A:A,vigencia!E57)</f>
        <v>0</v>
      </c>
      <c r="J57" s="268">
        <f>SUMIFS(ejec_ICPA!G:G,ejec_ICPA!B:B,vigencia!A57,ejec_ICPA!A:A,vigencia!E57)</f>
        <v>48000000</v>
      </c>
      <c r="K57" s="268">
        <f>SUMIFS(ejec_ICPA!H:H,ejec_ICPA!B:B,vigencia!A57,ejec_ICPA!A:A,vigencia!E57)</f>
        <v>48000000</v>
      </c>
      <c r="L57" s="268">
        <f t="shared" si="178"/>
        <v>630937618</v>
      </c>
      <c r="M57" s="268">
        <f>SUMIFS(ejec_ICPA!K:K,ejec_ICPA!B:B,vigencia!A57,ejec_ICPA!A:A,vigencia!E57)</f>
        <v>595313798</v>
      </c>
      <c r="N57" s="268">
        <f>SUMIFS(ejec_ICPA!L:L,ejec_ICPA!B:B,vigencia!A57,ejec_ICPA!A:A,vigencia!E57)</f>
        <v>595313798</v>
      </c>
      <c r="O57" s="268">
        <f>SUMIFS(ejec_ICPA!J:J,ejec_ICPA!B:B,vigencia!A57,ejec_ICPA!A:A,vigencia!E57)</f>
        <v>595313798</v>
      </c>
      <c r="P57" s="268">
        <f>SUMIFS(ejec_ICPA!M:M,ejec_ICPA!B:B,vigencia!A57,ejec_ICPA!A:A,vigencia!E57)</f>
        <v>595313798</v>
      </c>
      <c r="Q57" s="269">
        <f t="shared" si="179"/>
        <v>35623820</v>
      </c>
      <c r="R57" s="270">
        <f t="shared" si="180"/>
        <v>0.94353828495291903</v>
      </c>
      <c r="S57" s="271">
        <f t="shared" si="181"/>
        <v>0.94353828495291903</v>
      </c>
      <c r="T57" s="268">
        <f>SUMIFS(ejec_ICPA!N:N,ejec_ICPA!B:B,vigencia!A57,ejec_ICPA!A:A,vigencia!E57)</f>
        <v>-17025001</v>
      </c>
      <c r="U57" s="268">
        <f>SUMIFS(ejec_ICPA!O:O,ejec_ICPA!B:B,vigencia!A57,ejec_ICPA!A:A,vigencia!E57)</f>
        <v>0</v>
      </c>
      <c r="V57" s="268">
        <f>SUMIFS(ejec_ICPA!P:P,ejec_ICPA!B:B,vigencia!A57,ejec_ICPA!A:A,vigencia!E57)</f>
        <v>109797497</v>
      </c>
      <c r="W57" s="268">
        <f>SUMIFS(ejec_ICPA!Q:Q,ejec_ICPA!B:B,vigencia!A57,ejec_ICPA!A:A,vigencia!E57)</f>
        <v>109797497</v>
      </c>
      <c r="X57" s="272">
        <f t="shared" si="182"/>
        <v>0</v>
      </c>
      <c r="Y57" s="272">
        <f t="shared" si="183"/>
        <v>0</v>
      </c>
      <c r="Z57" s="272">
        <f t="shared" si="184"/>
        <v>0</v>
      </c>
    </row>
    <row r="58" spans="1:26" s="301" customFormat="1" x14ac:dyDescent="0.25">
      <c r="A58" s="297" t="s">
        <v>384</v>
      </c>
      <c r="B58" s="298" t="s">
        <v>757</v>
      </c>
      <c r="C58" s="304"/>
      <c r="D58" s="298" t="s">
        <v>752</v>
      </c>
      <c r="E58" s="264" t="s">
        <v>711</v>
      </c>
      <c r="F58" s="316" t="s">
        <v>905</v>
      </c>
      <c r="G58" s="268">
        <f>SUMIFS(ejec_ICPA!D:D,ejec_ICPA!B:B,vigencia!A58,ejec_ICPA!A:A,vigencia!E58)</f>
        <v>431103692</v>
      </c>
      <c r="H58" s="268">
        <f>SUMIFS(ejec_ICPA!E:E,ejec_ICPA!B:B,vigencia!A58,ejec_ICPA!A:A,vigencia!E58)</f>
        <v>934434678</v>
      </c>
      <c r="I58" s="268">
        <f>SUMIFS(ejec_ICPA!F:F,ejec_ICPA!B:B,vigencia!A58,ejec_ICPA!A:A,vigencia!E58)</f>
        <v>0</v>
      </c>
      <c r="J58" s="268">
        <f>SUMIFS(ejec_ICPA!G:G,ejec_ICPA!B:B,vigencia!A58,ejec_ICPA!A:A,vigencia!E58)</f>
        <v>233000000</v>
      </c>
      <c r="K58" s="268">
        <f>SUMIFS(ejec_ICPA!H:H,ejec_ICPA!B:B,vigencia!A58,ejec_ICPA!A:A,vigencia!E58)</f>
        <v>233000000</v>
      </c>
      <c r="L58" s="268">
        <f t="shared" si="173"/>
        <v>1365538370</v>
      </c>
      <c r="M58" s="268">
        <f>SUMIFS(ejec_ICPA!K:K,ejec_ICPA!B:B,vigencia!A58,ejec_ICPA!A:A,vigencia!E58)</f>
        <v>1048095546</v>
      </c>
      <c r="N58" s="268">
        <f>SUMIFS(ejec_ICPA!L:L,ejec_ICPA!B:B,vigencia!A58,ejec_ICPA!A:A,vigencia!E58)</f>
        <v>1048095546</v>
      </c>
      <c r="O58" s="268">
        <f>SUMIFS(ejec_ICPA!J:J,ejec_ICPA!B:B,vigencia!A58,ejec_ICPA!A:A,vigencia!E58)</f>
        <v>1048095546</v>
      </c>
      <c r="P58" s="268">
        <f>SUMIFS(ejec_ICPA!M:M,ejec_ICPA!B:B,vigencia!A58,ejec_ICPA!A:A,vigencia!E58)</f>
        <v>1048095546</v>
      </c>
      <c r="Q58" s="269">
        <f t="shared" si="174"/>
        <v>317442824</v>
      </c>
      <c r="R58" s="270">
        <f t="shared" si="8"/>
        <v>0.76753284201014427</v>
      </c>
      <c r="S58" s="271">
        <f t="shared" si="9"/>
        <v>0.76753284201014427</v>
      </c>
      <c r="T58" s="268">
        <f>SUMIFS(ejec_ICPA!N:N,ejec_ICPA!B:B,vigencia!A58,ejec_ICPA!A:A,vigencia!E58)</f>
        <v>-13348883</v>
      </c>
      <c r="U58" s="268">
        <f>SUMIFS(ejec_ICPA!O:O,ejec_ICPA!B:B,vigencia!A58,ejec_ICPA!A:A,vigencia!E58)</f>
        <v>0</v>
      </c>
      <c r="V58" s="268">
        <f>SUMIFS(ejec_ICPA!P:P,ejec_ICPA!B:B,vigencia!A58,ejec_ICPA!A:A,vigencia!E58)</f>
        <v>321519389</v>
      </c>
      <c r="W58" s="268">
        <f>SUMIFS(ejec_ICPA!Q:Q,ejec_ICPA!B:B,vigencia!A58,ejec_ICPA!A:A,vigencia!E58)</f>
        <v>321519389</v>
      </c>
      <c r="X58" s="272">
        <f t="shared" si="175"/>
        <v>0</v>
      </c>
      <c r="Y58" s="272">
        <f t="shared" si="176"/>
        <v>0</v>
      </c>
      <c r="Z58" s="272">
        <f t="shared" si="177"/>
        <v>0</v>
      </c>
    </row>
    <row r="59" spans="1:26" s="301" customFormat="1" ht="13.8" x14ac:dyDescent="0.3">
      <c r="A59" s="297" t="s">
        <v>384</v>
      </c>
      <c r="B59" s="298" t="s">
        <v>757</v>
      </c>
      <c r="C59" s="304"/>
      <c r="D59" s="298" t="s">
        <v>752</v>
      </c>
      <c r="E59" s="305" t="s">
        <v>895</v>
      </c>
      <c r="F59" s="317" t="s">
        <v>906</v>
      </c>
      <c r="G59" s="268">
        <f>SUMIFS(ejec_ICPA!D:D,ejec_ICPA!B:B,vigencia!A59,ejec_ICPA!A:A,vigencia!E59)</f>
        <v>0</v>
      </c>
      <c r="H59" s="268">
        <f>SUMIFS(ejec_ICPA!E:E,ejec_ICPA!B:B,vigencia!A59,ejec_ICPA!A:A,vigencia!E59)</f>
        <v>1321777205</v>
      </c>
      <c r="I59" s="268">
        <f>SUMIFS(ejec_ICPA!F:F,ejec_ICPA!B:B,vigencia!A59,ejec_ICPA!A:A,vigencia!E59)</f>
        <v>0</v>
      </c>
      <c r="J59" s="268">
        <f>SUMIFS(ejec_ICPA!G:G,ejec_ICPA!B:B,vigencia!A59,ejec_ICPA!A:A,vigencia!E59)</f>
        <v>0</v>
      </c>
      <c r="K59" s="268">
        <f>SUMIFS(ejec_ICPA!H:H,ejec_ICPA!B:B,vigencia!A59,ejec_ICPA!A:A,vigencia!E59)</f>
        <v>0</v>
      </c>
      <c r="L59" s="268">
        <f t="shared" ref="L59" si="185">G59+H59-I59+J59-K59</f>
        <v>1321777205</v>
      </c>
      <c r="M59" s="268">
        <f>SUMIFS(ejec_ICPA!K:K,ejec_ICPA!B:B,vigencia!A59,ejec_ICPA!A:A,vigencia!E59)</f>
        <v>1066490545</v>
      </c>
      <c r="N59" s="268">
        <f>SUMIFS(ejec_ICPA!L:L,ejec_ICPA!B:B,vigencia!A59,ejec_ICPA!A:A,vigencia!E59)</f>
        <v>1066490545</v>
      </c>
      <c r="O59" s="268">
        <f>SUMIFS(ejec_ICPA!J:J,ejec_ICPA!B:B,vigencia!A59,ejec_ICPA!A:A,vigencia!E59)</f>
        <v>1066490545</v>
      </c>
      <c r="P59" s="268">
        <f>SUMIFS(ejec_ICPA!M:M,ejec_ICPA!B:B,vigencia!A59,ejec_ICPA!A:A,vigencia!E59)</f>
        <v>1060490545</v>
      </c>
      <c r="Q59" s="269">
        <f t="shared" ref="Q59" si="186">L59-N59</f>
        <v>255286660</v>
      </c>
      <c r="R59" s="270">
        <f t="shared" ref="R59" si="187">N59/L59</f>
        <v>0.80686105114061191</v>
      </c>
      <c r="S59" s="271">
        <f t="shared" ref="S59" si="188">P59/L59</f>
        <v>0.80232170821859494</v>
      </c>
      <c r="T59" s="268">
        <f>SUMIFS(ejec_ICPA!N:N,ejec_ICPA!B:B,vigencia!A59,ejec_ICPA!A:A,vigencia!E59)</f>
        <v>-58290916</v>
      </c>
      <c r="U59" s="268">
        <f>SUMIFS(ejec_ICPA!O:O,ejec_ICPA!B:B,vigencia!A59,ejec_ICPA!A:A,vigencia!E59)</f>
        <v>0</v>
      </c>
      <c r="V59" s="268">
        <f>SUMIFS(ejec_ICPA!P:P,ejec_ICPA!B:B,vigencia!A59,ejec_ICPA!A:A,vigencia!E59)</f>
        <v>243623538</v>
      </c>
      <c r="W59" s="268">
        <f>SUMIFS(ejec_ICPA!Q:Q,ejec_ICPA!B:B,vigencia!A59,ejec_ICPA!A:A,vigencia!E59)</f>
        <v>233123538</v>
      </c>
      <c r="X59" s="272">
        <f t="shared" ref="X59" si="189">M59-N59</f>
        <v>0</v>
      </c>
      <c r="Y59" s="272">
        <f t="shared" ref="Y59" si="190">N59-O59</f>
        <v>0</v>
      </c>
      <c r="Z59" s="272">
        <f t="shared" ref="Z59" si="191">O59-P59</f>
        <v>6000000</v>
      </c>
    </row>
    <row r="60" spans="1:26" s="301" customFormat="1" ht="13.8" x14ac:dyDescent="0.3">
      <c r="A60" s="297" t="s">
        <v>384</v>
      </c>
      <c r="B60" s="298" t="s">
        <v>757</v>
      </c>
      <c r="C60" s="304"/>
      <c r="D60" s="298" t="s">
        <v>752</v>
      </c>
      <c r="E60" s="303" t="s">
        <v>892</v>
      </c>
      <c r="F60" s="317" t="s">
        <v>907</v>
      </c>
      <c r="G60" s="268">
        <f>SUMIFS(ejec_ICPA!D:D,ejec_ICPA!B:B,vigencia!A60,ejec_ICPA!A:A,vigencia!E60)</f>
        <v>0</v>
      </c>
      <c r="H60" s="268">
        <f>SUMIFS(ejec_ICPA!E:E,ejec_ICPA!B:B,vigencia!A60,ejec_ICPA!A:A,vigencia!E60)</f>
        <v>377117311</v>
      </c>
      <c r="I60" s="268">
        <f>SUMIFS(ejec_ICPA!F:F,ejec_ICPA!B:B,vigencia!A60,ejec_ICPA!A:A,vigencia!E60)</f>
        <v>0</v>
      </c>
      <c r="J60" s="268">
        <f>SUMIFS(ejec_ICPA!G:G,ejec_ICPA!B:B,vigencia!A60,ejec_ICPA!A:A,vigencia!E60)</f>
        <v>50000000</v>
      </c>
      <c r="K60" s="268">
        <f>SUMIFS(ejec_ICPA!H:H,ejec_ICPA!B:B,vigencia!A60,ejec_ICPA!A:A,vigencia!E60)</f>
        <v>103251837</v>
      </c>
      <c r="L60" s="268">
        <f t="shared" ref="L60" si="192">G60+H60-I60+J60-K60</f>
        <v>323865474</v>
      </c>
      <c r="M60" s="268">
        <f>SUMIFS(ejec_ICPA!K:K,ejec_ICPA!B:B,vigencia!A60,ejec_ICPA!A:A,vigencia!E60)</f>
        <v>296499050</v>
      </c>
      <c r="N60" s="268">
        <f>SUMIFS(ejec_ICPA!L:L,ejec_ICPA!B:B,vigencia!A60,ejec_ICPA!A:A,vigencia!E60)</f>
        <v>296499050</v>
      </c>
      <c r="O60" s="268">
        <f>SUMIFS(ejec_ICPA!J:J,ejec_ICPA!B:B,vigencia!A60,ejec_ICPA!A:A,vigencia!E60)</f>
        <v>296499050</v>
      </c>
      <c r="P60" s="268">
        <f>SUMIFS(ejec_ICPA!M:M,ejec_ICPA!B:B,vigencia!A60,ejec_ICPA!A:A,vigencia!E60)</f>
        <v>296499050</v>
      </c>
      <c r="Q60" s="269">
        <f t="shared" ref="Q60" si="193">L60-N60</f>
        <v>27366424</v>
      </c>
      <c r="R60" s="270">
        <f t="shared" ref="R60" si="194">N60/L60</f>
        <v>0.91550064394946895</v>
      </c>
      <c r="S60" s="271">
        <f t="shared" ref="S60" si="195">P60/L60</f>
        <v>0.91550064394946895</v>
      </c>
      <c r="T60" s="268">
        <f>SUMIFS(ejec_ICPA!N:N,ejec_ICPA!B:B,vigencia!A60,ejec_ICPA!A:A,vigencia!E60)</f>
        <v>-17796424</v>
      </c>
      <c r="U60" s="268">
        <f>SUMIFS(ejec_ICPA!O:O,ejec_ICPA!B:B,vigencia!A60,ejec_ICPA!A:A,vigencia!E60)</f>
        <v>0</v>
      </c>
      <c r="V60" s="268">
        <f>SUMIFS(ejec_ICPA!P:P,ejec_ICPA!B:B,vigencia!A60,ejec_ICPA!A:A,vigencia!E60)</f>
        <v>17885473</v>
      </c>
      <c r="W60" s="268">
        <f>SUMIFS(ejec_ICPA!Q:Q,ejec_ICPA!B:B,vigencia!A60,ejec_ICPA!A:A,vigencia!E60)</f>
        <v>17885473</v>
      </c>
      <c r="X60" s="272">
        <f t="shared" ref="X60" si="196">M60-N60</f>
        <v>0</v>
      </c>
      <c r="Y60" s="272">
        <f t="shared" ref="Y60" si="197">N60-O60</f>
        <v>0</v>
      </c>
      <c r="Z60" s="272">
        <f t="shared" ref="Z60" si="198">O60-P60</f>
        <v>0</v>
      </c>
    </row>
    <row r="61" spans="1:26" s="301" customFormat="1" ht="13.8" x14ac:dyDescent="0.3">
      <c r="A61" s="297" t="s">
        <v>384</v>
      </c>
      <c r="B61" s="298" t="s">
        <v>757</v>
      </c>
      <c r="C61" s="304"/>
      <c r="D61" s="298" t="s">
        <v>752</v>
      </c>
      <c r="E61" s="113" t="s">
        <v>940</v>
      </c>
      <c r="F61" s="317" t="s">
        <v>942</v>
      </c>
      <c r="G61" s="268">
        <f>SUMIFS(ejec_ICPA!D:D,ejec_ICPA!B:B,vigencia!A61,ejec_ICPA!A:A,vigencia!E61)</f>
        <v>0</v>
      </c>
      <c r="H61" s="268">
        <f>SUMIFS(ejec_ICPA!E:E,ejec_ICPA!B:B,vigencia!A61,ejec_ICPA!A:A,vigencia!E61)</f>
        <v>25000000</v>
      </c>
      <c r="I61" s="268">
        <f>SUMIFS(ejec_ICPA!F:F,ejec_ICPA!B:B,vigencia!A61,ejec_ICPA!A:A,vigencia!E61)</f>
        <v>0</v>
      </c>
      <c r="J61" s="268">
        <f>SUMIFS(ejec_ICPA!G:G,ejec_ICPA!B:B,vigencia!A61,ejec_ICPA!A:A,vigencia!E61)</f>
        <v>0</v>
      </c>
      <c r="K61" s="268">
        <f>SUMIFS(ejec_ICPA!H:H,ejec_ICPA!B:B,vigencia!A61,ejec_ICPA!A:A,vigencia!E61)</f>
        <v>0</v>
      </c>
      <c r="L61" s="268">
        <f t="shared" ref="L61:L62" si="199">G61+H61-I61+J61-K61</f>
        <v>25000000</v>
      </c>
      <c r="M61" s="268">
        <f>SUMIFS(ejec_ICPA!K:K,ejec_ICPA!B:B,vigencia!A61,ejec_ICPA!A:A,vigencia!E61)</f>
        <v>24750000</v>
      </c>
      <c r="N61" s="268">
        <f>SUMIFS(ejec_ICPA!L:L,ejec_ICPA!B:B,vigencia!A61,ejec_ICPA!A:A,vigencia!E61)</f>
        <v>24750000</v>
      </c>
      <c r="O61" s="268">
        <f>SUMIFS(ejec_ICPA!J:J,ejec_ICPA!B:B,vigencia!A61,ejec_ICPA!A:A,vigencia!E61)</f>
        <v>24750000</v>
      </c>
      <c r="P61" s="268">
        <f>SUMIFS(ejec_ICPA!M:M,ejec_ICPA!B:B,vigencia!A61,ejec_ICPA!A:A,vigencia!E61)</f>
        <v>24750000</v>
      </c>
      <c r="Q61" s="269">
        <f t="shared" ref="Q61:Q62" si="200">L61-N61</f>
        <v>250000</v>
      </c>
      <c r="R61" s="270">
        <f t="shared" ref="R61:R62" si="201">N61/L61</f>
        <v>0.99</v>
      </c>
      <c r="S61" s="271">
        <f t="shared" ref="S61:S62" si="202">P61/L61</f>
        <v>0.99</v>
      </c>
      <c r="T61" s="268">
        <f>SUMIFS(ejec_ICPA!N:N,ejec_ICPA!B:B,vigencia!A61,ejec_ICPA!A:A,vigencia!E61)</f>
        <v>0</v>
      </c>
      <c r="U61" s="268">
        <f>SUMIFS(ejec_ICPA!O:O,ejec_ICPA!B:B,vigencia!A61,ejec_ICPA!A:A,vigencia!E61)</f>
        <v>0</v>
      </c>
      <c r="V61" s="268">
        <f>SUMIFS(ejec_ICPA!P:P,ejec_ICPA!B:B,vigencia!A61,ejec_ICPA!A:A,vigencia!E61)</f>
        <v>7425000</v>
      </c>
      <c r="W61" s="268">
        <f>SUMIFS(ejec_ICPA!Q:Q,ejec_ICPA!B:B,vigencia!A61,ejec_ICPA!A:A,vigencia!E61)</f>
        <v>7425000</v>
      </c>
      <c r="X61" s="272">
        <f t="shared" ref="X61:X62" si="203">M61-N61</f>
        <v>0</v>
      </c>
      <c r="Y61" s="272">
        <f t="shared" ref="Y61:Y62" si="204">N61-O61</f>
        <v>0</v>
      </c>
      <c r="Z61" s="272">
        <f t="shared" ref="Z61:Z62" si="205">O61-P61</f>
        <v>0</v>
      </c>
    </row>
    <row r="62" spans="1:26" s="301" customFormat="1" ht="13.8" x14ac:dyDescent="0.3">
      <c r="A62" s="297" t="s">
        <v>384</v>
      </c>
      <c r="B62" s="298" t="s">
        <v>757</v>
      </c>
      <c r="C62" s="304"/>
      <c r="D62" s="298" t="s">
        <v>752</v>
      </c>
      <c r="E62" s="113" t="s">
        <v>941</v>
      </c>
      <c r="F62" s="317" t="s">
        <v>943</v>
      </c>
      <c r="G62" s="268">
        <f>SUMIFS(ejec_ICPA!D:D,ejec_ICPA!B:B,vigencia!A62,ejec_ICPA!A:A,vigencia!E62)</f>
        <v>0</v>
      </c>
      <c r="H62" s="268">
        <f>SUMIFS(ejec_ICPA!E:E,ejec_ICPA!B:B,vigencia!A62,ejec_ICPA!A:A,vigencia!E62)</f>
        <v>50000000</v>
      </c>
      <c r="I62" s="268">
        <f>SUMIFS(ejec_ICPA!F:F,ejec_ICPA!B:B,vigencia!A62,ejec_ICPA!A:A,vigencia!E62)</f>
        <v>0</v>
      </c>
      <c r="J62" s="268">
        <f>SUMIFS(ejec_ICPA!G:G,ejec_ICPA!B:B,vigencia!A62,ejec_ICPA!A:A,vigencia!E62)</f>
        <v>0</v>
      </c>
      <c r="K62" s="268">
        <f>SUMIFS(ejec_ICPA!H:H,ejec_ICPA!B:B,vigencia!A62,ejec_ICPA!A:A,vigencia!E62)</f>
        <v>0</v>
      </c>
      <c r="L62" s="268">
        <f t="shared" si="199"/>
        <v>50000000</v>
      </c>
      <c r="M62" s="268">
        <f>SUMIFS(ejec_ICPA!K:K,ejec_ICPA!B:B,vigencia!A62,ejec_ICPA!A:A,vigencia!E62)</f>
        <v>45540000</v>
      </c>
      <c r="N62" s="268">
        <f>SUMIFS(ejec_ICPA!L:L,ejec_ICPA!B:B,vigencia!A62,ejec_ICPA!A:A,vigencia!E62)</f>
        <v>45540000</v>
      </c>
      <c r="O62" s="268">
        <f>SUMIFS(ejec_ICPA!J:J,ejec_ICPA!B:B,vigencia!A62,ejec_ICPA!A:A,vigencia!E62)</f>
        <v>45540000</v>
      </c>
      <c r="P62" s="268">
        <f>SUMIFS(ejec_ICPA!M:M,ejec_ICPA!B:B,vigencia!A62,ejec_ICPA!A:A,vigencia!E62)</f>
        <v>45540000</v>
      </c>
      <c r="Q62" s="269">
        <f t="shared" si="200"/>
        <v>4460000</v>
      </c>
      <c r="R62" s="270">
        <f t="shared" si="201"/>
        <v>0.91080000000000005</v>
      </c>
      <c r="S62" s="271">
        <f t="shared" si="202"/>
        <v>0.91080000000000005</v>
      </c>
      <c r="T62" s="268">
        <f>SUMIFS(ejec_ICPA!N:N,ejec_ICPA!B:B,vigencia!A62,ejec_ICPA!A:A,vigencia!E62)</f>
        <v>0</v>
      </c>
      <c r="U62" s="268">
        <f>SUMIFS(ejec_ICPA!O:O,ejec_ICPA!B:B,vigencia!A62,ejec_ICPA!A:A,vigencia!E62)</f>
        <v>0</v>
      </c>
      <c r="V62" s="268">
        <f>SUMIFS(ejec_ICPA!P:P,ejec_ICPA!B:B,vigencia!A62,ejec_ICPA!A:A,vigencia!E62)</f>
        <v>13662000</v>
      </c>
      <c r="W62" s="268">
        <f>SUMIFS(ejec_ICPA!Q:Q,ejec_ICPA!B:B,vigencia!A62,ejec_ICPA!A:A,vigencia!E62)</f>
        <v>13662000</v>
      </c>
      <c r="X62" s="272">
        <f t="shared" si="203"/>
        <v>0</v>
      </c>
      <c r="Y62" s="272">
        <f t="shared" si="204"/>
        <v>0</v>
      </c>
      <c r="Z62" s="272">
        <f t="shared" si="205"/>
        <v>0</v>
      </c>
    </row>
    <row r="63" spans="1:26" s="296" customFormat="1" x14ac:dyDescent="0.25">
      <c r="A63" s="289" t="s">
        <v>724</v>
      </c>
      <c r="B63" s="290"/>
      <c r="C63" s="291"/>
      <c r="D63" s="292" t="s">
        <v>733</v>
      </c>
      <c r="E63" s="292" t="s">
        <v>733</v>
      </c>
      <c r="F63" s="324"/>
      <c r="G63" s="293">
        <f>SUM(G64:G68)</f>
        <v>315240984</v>
      </c>
      <c r="H63" s="293">
        <f t="shared" ref="H63:Q63" si="206">SUM(H64:H68)</f>
        <v>2050311373</v>
      </c>
      <c r="I63" s="293">
        <f t="shared" si="206"/>
        <v>0</v>
      </c>
      <c r="J63" s="293">
        <f>SUM(J64:J68)</f>
        <v>441234272</v>
      </c>
      <c r="K63" s="293">
        <f t="shared" si="206"/>
        <v>786371504</v>
      </c>
      <c r="L63" s="293">
        <f t="shared" si="206"/>
        <v>2020415125</v>
      </c>
      <c r="M63" s="293">
        <f t="shared" si="206"/>
        <v>1252971397</v>
      </c>
      <c r="N63" s="293">
        <f t="shared" si="206"/>
        <v>1252971397</v>
      </c>
      <c r="O63" s="293">
        <f t="shared" si="206"/>
        <v>1252971397</v>
      </c>
      <c r="P63" s="293">
        <f t="shared" si="206"/>
        <v>782742197</v>
      </c>
      <c r="Q63" s="293">
        <f t="shared" si="206"/>
        <v>767443728</v>
      </c>
      <c r="R63" s="294">
        <f t="shared" si="8"/>
        <v>0.62015542325738626</v>
      </c>
      <c r="S63" s="295">
        <f t="shared" si="9"/>
        <v>0.38741652015696526</v>
      </c>
      <c r="T63" s="293">
        <f t="shared" ref="T63:Z63" si="207">SUM(T64:T68)</f>
        <v>-112315518</v>
      </c>
      <c r="U63" s="293">
        <f t="shared" si="207"/>
        <v>0</v>
      </c>
      <c r="V63" s="293">
        <f t="shared" si="207"/>
        <v>907932222</v>
      </c>
      <c r="W63" s="293">
        <f t="shared" si="207"/>
        <v>437703022</v>
      </c>
      <c r="X63" s="293">
        <f t="shared" si="207"/>
        <v>0</v>
      </c>
      <c r="Y63" s="293">
        <f t="shared" si="207"/>
        <v>0</v>
      </c>
      <c r="Z63" s="293">
        <f t="shared" si="207"/>
        <v>470229200</v>
      </c>
    </row>
    <row r="64" spans="1:26" s="301" customFormat="1" x14ac:dyDescent="0.25">
      <c r="A64" s="297" t="s">
        <v>471</v>
      </c>
      <c r="B64" s="298" t="s">
        <v>759</v>
      </c>
      <c r="C64" s="304"/>
      <c r="D64" s="298" t="s">
        <v>752</v>
      </c>
      <c r="E64" s="264" t="s">
        <v>702</v>
      </c>
      <c r="F64" s="315" t="s">
        <v>912</v>
      </c>
      <c r="G64" s="268">
        <f>SUMIFS(ejec_ICPA!D:D,ejec_ICPA!B:B,vigencia!A64,ejec_ICPA!A:A,vigencia!E64)</f>
        <v>108000000</v>
      </c>
      <c r="H64" s="268">
        <f>SUMIFS(ejec_ICPA!E:E,ejec_ICPA!B:B,vigencia!A64,ejec_ICPA!A:A,vigencia!E64)</f>
        <v>350000000</v>
      </c>
      <c r="I64" s="268">
        <f>SUMIFS(ejec_ICPA!F:F,ejec_ICPA!B:B,vigencia!A64,ejec_ICPA!A:A,vigencia!E64)</f>
        <v>0</v>
      </c>
      <c r="J64" s="268">
        <f>SUMIFS(ejec_ICPA!G:G,ejec_ICPA!B:B,vigencia!A64,ejec_ICPA!A:A,vigencia!E64)</f>
        <v>0</v>
      </c>
      <c r="K64" s="268">
        <f>SUMIFS(ejec_ICPA!H:H,ejec_ICPA!B:B,vigencia!A64,ejec_ICPA!A:A,vigencia!E64)</f>
        <v>0</v>
      </c>
      <c r="L64" s="268">
        <f t="shared" ref="L64:L67" si="208">G64+H64-I64+J64-K64</f>
        <v>458000000</v>
      </c>
      <c r="M64" s="268">
        <f>SUMIFS(ejec_ICPA!K:K,ejec_ICPA!B:B,vigencia!A64,ejec_ICPA!A:A,vigencia!E64)</f>
        <v>107618275</v>
      </c>
      <c r="N64" s="268">
        <f>SUMIFS(ejec_ICPA!L:L,ejec_ICPA!B:B,vigencia!A64,ejec_ICPA!A:A,vigencia!E64)</f>
        <v>107618275</v>
      </c>
      <c r="O64" s="268">
        <f>SUMIFS(ejec_ICPA!J:J,ejec_ICPA!B:B,vigencia!A64,ejec_ICPA!A:A,vigencia!E64)</f>
        <v>107618275</v>
      </c>
      <c r="P64" s="268">
        <f>SUMIFS(ejec_ICPA!M:M,ejec_ICPA!B:B,vigencia!A64,ejec_ICPA!A:A,vigencia!E64)</f>
        <v>107618275</v>
      </c>
      <c r="Q64" s="269">
        <f t="shared" ref="Q64:Q67" si="209">L64-N64</f>
        <v>350381725</v>
      </c>
      <c r="R64" s="270">
        <f t="shared" si="8"/>
        <v>0.23497439956331878</v>
      </c>
      <c r="S64" s="271">
        <f t="shared" si="9"/>
        <v>0.23497439956331878</v>
      </c>
      <c r="T64" s="268">
        <f>SUMIFS(ejec_ICPA!N:N,ejec_ICPA!B:B,vigencia!A64,ejec_ICPA!A:A,vigencia!E64)</f>
        <v>-381725</v>
      </c>
      <c r="U64" s="268">
        <f>SUMIFS(ejec_ICPA!O:O,ejec_ICPA!B:B,vigencia!A64,ejec_ICPA!A:A,vigencia!E64)</f>
        <v>0</v>
      </c>
      <c r="V64" s="268">
        <f>SUMIFS(ejec_ICPA!P:P,ejec_ICPA!B:B,vigencia!A64,ejec_ICPA!A:A,vigencia!E64)</f>
        <v>22682542</v>
      </c>
      <c r="W64" s="268">
        <f>SUMIFS(ejec_ICPA!Q:Q,ejec_ICPA!B:B,vigencia!A64,ejec_ICPA!A:A,vigencia!E64)</f>
        <v>22682542</v>
      </c>
      <c r="X64" s="272">
        <f t="shared" ref="X64:X67" si="210">M64-N64</f>
        <v>0</v>
      </c>
      <c r="Y64" s="272">
        <f t="shared" ref="Y64:Y67" si="211">N64-O64</f>
        <v>0</v>
      </c>
      <c r="Z64" s="272">
        <f t="shared" ref="Z64:Z67" si="212">O64-P64</f>
        <v>0</v>
      </c>
    </row>
    <row r="65" spans="1:26" s="301" customFormat="1" ht="13.8" x14ac:dyDescent="0.3">
      <c r="A65" s="297" t="s">
        <v>471</v>
      </c>
      <c r="B65" s="298" t="s">
        <v>759</v>
      </c>
      <c r="C65" s="304"/>
      <c r="D65" s="298" t="s">
        <v>752</v>
      </c>
      <c r="E65" s="303" t="s">
        <v>889</v>
      </c>
      <c r="F65" s="315" t="s">
        <v>913</v>
      </c>
      <c r="G65" s="268">
        <f>SUMIFS(ejec_ICPA!D:D,ejec_ICPA!B:B,vigencia!A65,ejec_ICPA!A:A,vigencia!E65)</f>
        <v>0</v>
      </c>
      <c r="H65" s="268">
        <f>SUMIFS(ejec_ICPA!E:E,ejec_ICPA!B:B,vigencia!A65,ejec_ICPA!A:A,vigencia!E65)</f>
        <v>1124473653</v>
      </c>
      <c r="I65" s="268">
        <f>SUMIFS(ejec_ICPA!F:F,ejec_ICPA!B:B,vigencia!A65,ejec_ICPA!A:A,vigencia!E65)</f>
        <v>0</v>
      </c>
      <c r="J65" s="268">
        <f>SUMIFS(ejec_ICPA!G:G,ejec_ICPA!B:B,vigencia!A65,ejec_ICPA!A:A,vigencia!E65)</f>
        <v>441234272</v>
      </c>
      <c r="K65" s="268">
        <f>SUMIFS(ejec_ICPA!H:H,ejec_ICPA!B:B,vigencia!A65,ejec_ICPA!A:A,vigencia!E65)</f>
        <v>656959771</v>
      </c>
      <c r="L65" s="268">
        <f t="shared" ref="L65" si="213">G65+H65-I65+J65-K65</f>
        <v>908748154</v>
      </c>
      <c r="M65" s="268">
        <f>SUMIFS(ejec_ICPA!K:K,ejec_ICPA!B:B,vigencia!A65,ejec_ICPA!A:A,vigencia!E65)</f>
        <v>525241722</v>
      </c>
      <c r="N65" s="268">
        <f>SUMIFS(ejec_ICPA!L:L,ejec_ICPA!B:B,vigencia!A65,ejec_ICPA!A:A,vigencia!E65)</f>
        <v>525241722</v>
      </c>
      <c r="O65" s="268">
        <f>SUMIFS(ejec_ICPA!J:J,ejec_ICPA!B:B,vigencia!A65,ejec_ICPA!A:A,vigencia!E65)</f>
        <v>525241722</v>
      </c>
      <c r="P65" s="268">
        <f>SUMIFS(ejec_ICPA!M:M,ejec_ICPA!B:B,vigencia!A65,ejec_ICPA!A:A,vigencia!E65)</f>
        <v>124841722</v>
      </c>
      <c r="Q65" s="269">
        <f t="shared" ref="Q65" si="214">L65-N65</f>
        <v>383506432</v>
      </c>
      <c r="R65" s="270">
        <f t="shared" ref="R65" si="215">N65/L65</f>
        <v>0.57798381178334701</v>
      </c>
      <c r="S65" s="271">
        <f t="shared" ref="S65" si="216">P65/L65</f>
        <v>0.1373776897928092</v>
      </c>
      <c r="T65" s="268">
        <f>SUMIFS(ejec_ICPA!N:N,ejec_ICPA!B:B,vigencia!A65,ejec_ICPA!A:A,vigencia!E65)</f>
        <v>-83898212</v>
      </c>
      <c r="U65" s="268">
        <f>SUMIFS(ejec_ICPA!O:O,ejec_ICPA!B:B,vigencia!A65,ejec_ICPA!A:A,vigencia!E65)</f>
        <v>0</v>
      </c>
      <c r="V65" s="268">
        <f>SUMIFS(ejec_ICPA!P:P,ejec_ICPA!B:B,vigencia!A65,ejec_ICPA!A:A,vigencia!E65)</f>
        <v>473648875</v>
      </c>
      <c r="W65" s="268">
        <f>SUMIFS(ejec_ICPA!Q:Q,ejec_ICPA!B:B,vigencia!A65,ejec_ICPA!A:A,vigencia!E65)</f>
        <v>73248875</v>
      </c>
      <c r="X65" s="272">
        <f t="shared" ref="X65" si="217">M65-N65</f>
        <v>0</v>
      </c>
      <c r="Y65" s="272">
        <f t="shared" ref="Y65" si="218">N65-O65</f>
        <v>0</v>
      </c>
      <c r="Z65" s="272">
        <f t="shared" ref="Z65" si="219">O65-P65</f>
        <v>400400000</v>
      </c>
    </row>
    <row r="66" spans="1:26" s="301" customFormat="1" x14ac:dyDescent="0.25">
      <c r="A66" s="297" t="s">
        <v>479</v>
      </c>
      <c r="B66" s="298" t="s">
        <v>760</v>
      </c>
      <c r="C66" s="304"/>
      <c r="D66" s="298" t="s">
        <v>752</v>
      </c>
      <c r="E66" s="264" t="s">
        <v>704</v>
      </c>
      <c r="F66" s="315" t="s">
        <v>914</v>
      </c>
      <c r="G66" s="268">
        <f>SUMIFS(ejec_ICPA!D:D,ejec_ICPA!B:B,vigencia!A66,ejec_ICPA!A:A,vigencia!E66)</f>
        <v>200000000</v>
      </c>
      <c r="H66" s="268">
        <f>SUMIFS(ejec_ICPA!E:E,ejec_ICPA!B:B,vigencia!A66,ejec_ICPA!A:A,vigencia!E66)</f>
        <v>321603098</v>
      </c>
      <c r="I66" s="268">
        <f>SUMIFS(ejec_ICPA!F:F,ejec_ICPA!B:B,vigencia!A66,ejec_ICPA!A:A,vigencia!E66)</f>
        <v>0</v>
      </c>
      <c r="J66" s="268">
        <f>SUMIFS(ejec_ICPA!G:G,ejec_ICPA!B:B,vigencia!A66,ejec_ICPA!A:A,vigencia!E66)</f>
        <v>0</v>
      </c>
      <c r="K66" s="268">
        <f>SUMIFS(ejec_ICPA!H:H,ejec_ICPA!B:B,vigencia!A66,ejec_ICPA!A:A,vigencia!E66)</f>
        <v>0</v>
      </c>
      <c r="L66" s="268">
        <f t="shared" si="208"/>
        <v>521603098</v>
      </c>
      <c r="M66" s="268">
        <f>SUMIFS(ejec_ICPA!K:K,ejec_ICPA!B:B,vigencia!A66,ejec_ICPA!A:A,vigencia!E66)</f>
        <v>518511745</v>
      </c>
      <c r="N66" s="268">
        <f>SUMIFS(ejec_ICPA!L:L,ejec_ICPA!B:B,vigencia!A66,ejec_ICPA!A:A,vigencia!E66)</f>
        <v>518511745</v>
      </c>
      <c r="O66" s="268">
        <f>SUMIFS(ejec_ICPA!J:J,ejec_ICPA!B:B,vigencia!A66,ejec_ICPA!A:A,vigencia!E66)</f>
        <v>518511745</v>
      </c>
      <c r="P66" s="268">
        <f>SUMIFS(ejec_ICPA!M:M,ejec_ICPA!B:B,vigencia!A66,ejec_ICPA!A:A,vigencia!E66)</f>
        <v>450423890</v>
      </c>
      <c r="Q66" s="269">
        <f t="shared" si="209"/>
        <v>3091353</v>
      </c>
      <c r="R66" s="270">
        <f t="shared" si="8"/>
        <v>0.99407336150445946</v>
      </c>
      <c r="S66" s="271">
        <f t="shared" si="9"/>
        <v>0.86353760498562071</v>
      </c>
      <c r="T66" s="268">
        <f>SUMIFS(ejec_ICPA!N:N,ejec_ICPA!B:B,vigencia!A66,ejec_ICPA!A:A,vigencia!E66)</f>
        <v>-3066126</v>
      </c>
      <c r="U66" s="268">
        <f>SUMIFS(ejec_ICPA!O:O,ejec_ICPA!B:B,vigencia!A66,ejec_ICPA!A:A,vigencia!E66)</f>
        <v>0</v>
      </c>
      <c r="V66" s="268">
        <f>SUMIFS(ejec_ICPA!P:P,ejec_ICPA!B:B,vigencia!A66,ejec_ICPA!A:A,vigencia!E66)</f>
        <v>409859460</v>
      </c>
      <c r="W66" s="268">
        <f>SUMIFS(ejec_ICPA!Q:Q,ejec_ICPA!B:B,vigencia!A66,ejec_ICPA!A:A,vigencia!E66)</f>
        <v>341771605</v>
      </c>
      <c r="X66" s="272">
        <f t="shared" si="210"/>
        <v>0</v>
      </c>
      <c r="Y66" s="272">
        <f t="shared" si="211"/>
        <v>0</v>
      </c>
      <c r="Z66" s="272">
        <f t="shared" si="212"/>
        <v>68087855</v>
      </c>
    </row>
    <row r="67" spans="1:26" s="301" customFormat="1" x14ac:dyDescent="0.25">
      <c r="A67" s="297" t="s">
        <v>479</v>
      </c>
      <c r="B67" s="298" t="s">
        <v>760</v>
      </c>
      <c r="C67" s="304"/>
      <c r="D67" s="298" t="s">
        <v>752</v>
      </c>
      <c r="E67" s="264" t="s">
        <v>705</v>
      </c>
      <c r="F67" s="316" t="s">
        <v>915</v>
      </c>
      <c r="G67" s="268">
        <f>SUMIFS(ejec_ICPA!D:D,ejec_ICPA!B:B,vigencia!A67,ejec_ICPA!A:A,vigencia!E67)</f>
        <v>7240984</v>
      </c>
      <c r="H67" s="268">
        <f>SUMIFS(ejec_ICPA!E:E,ejec_ICPA!B:B,vigencia!A67,ejec_ICPA!A:A,vigencia!E67)</f>
        <v>0</v>
      </c>
      <c r="I67" s="268">
        <f>SUMIFS(ejec_ICPA!F:F,ejec_ICPA!B:B,vigencia!A67,ejec_ICPA!A:A,vigencia!E67)</f>
        <v>0</v>
      </c>
      <c r="J67" s="268">
        <f>SUMIFS(ejec_ICPA!G:G,ejec_ICPA!B:B,vigencia!A67,ejec_ICPA!A:A,vigencia!E67)</f>
        <v>0</v>
      </c>
      <c r="K67" s="268">
        <f>SUMIFS(ejec_ICPA!H:H,ejec_ICPA!B:B,vigencia!A67,ejec_ICPA!A:A,vigencia!E67)</f>
        <v>0</v>
      </c>
      <c r="L67" s="268">
        <f t="shared" si="208"/>
        <v>7240984</v>
      </c>
      <c r="M67" s="268">
        <f>SUMIFS(ejec_ICPA!K:K,ejec_ICPA!B:B,vigencia!A67,ejec_ICPA!A:A,vigencia!E67)</f>
        <v>1741345</v>
      </c>
      <c r="N67" s="268">
        <f>SUMIFS(ejec_ICPA!L:L,ejec_ICPA!B:B,vigencia!A67,ejec_ICPA!A:A,vigencia!E67)</f>
        <v>1741345</v>
      </c>
      <c r="O67" s="268">
        <f>SUMIFS(ejec_ICPA!J:J,ejec_ICPA!B:B,vigencia!A67,ejec_ICPA!A:A,vigencia!E67)</f>
        <v>1741345</v>
      </c>
      <c r="P67" s="268">
        <f>SUMIFS(ejec_ICPA!M:M,ejec_ICPA!B:B,vigencia!A67,ejec_ICPA!A:A,vigencia!E67)</f>
        <v>0</v>
      </c>
      <c r="Q67" s="269">
        <f t="shared" si="209"/>
        <v>5499639</v>
      </c>
      <c r="R67" s="270">
        <f t="shared" si="8"/>
        <v>0.24048458054872102</v>
      </c>
      <c r="S67" s="271">
        <f t="shared" si="9"/>
        <v>0</v>
      </c>
      <c r="T67" s="268">
        <f>SUMIFS(ejec_ICPA!N:N,ejec_ICPA!B:B,vigencia!A67,ejec_ICPA!A:A,vigencia!E67)</f>
        <v>-4876</v>
      </c>
      <c r="U67" s="268">
        <f>SUMIFS(ejec_ICPA!O:O,ejec_ICPA!B:B,vigencia!A67,ejec_ICPA!A:A,vigencia!E67)</f>
        <v>0</v>
      </c>
      <c r="V67" s="268">
        <f>SUMIFS(ejec_ICPA!P:P,ejec_ICPA!B:B,vigencia!A67,ejec_ICPA!A:A,vigencia!E67)</f>
        <v>1741345</v>
      </c>
      <c r="W67" s="268">
        <f>SUMIFS(ejec_ICPA!Q:Q,ejec_ICPA!B:B,vigencia!A67,ejec_ICPA!A:A,vigencia!E67)</f>
        <v>0</v>
      </c>
      <c r="X67" s="272">
        <f t="shared" si="210"/>
        <v>0</v>
      </c>
      <c r="Y67" s="272">
        <f t="shared" si="211"/>
        <v>0</v>
      </c>
      <c r="Z67" s="272">
        <f t="shared" si="212"/>
        <v>1741345</v>
      </c>
    </row>
    <row r="68" spans="1:26" s="301" customFormat="1" ht="13.8" x14ac:dyDescent="0.3">
      <c r="A68" s="297" t="s">
        <v>479</v>
      </c>
      <c r="B68" s="298" t="s">
        <v>760</v>
      </c>
      <c r="C68" s="304"/>
      <c r="D68" s="298" t="s">
        <v>752</v>
      </c>
      <c r="E68" s="303" t="s">
        <v>890</v>
      </c>
      <c r="F68" s="316" t="s">
        <v>916</v>
      </c>
      <c r="G68" s="268">
        <f>SUMIFS(ejec_ICPA!D:D,ejec_ICPA!B:B,vigencia!A68,ejec_ICPA!A:A,vigencia!E68)</f>
        <v>0</v>
      </c>
      <c r="H68" s="268">
        <f>SUMIFS(ejec_ICPA!E:E,ejec_ICPA!B:B,vigencia!A68,ejec_ICPA!A:A,vigencia!E68)</f>
        <v>254234622</v>
      </c>
      <c r="I68" s="268">
        <f>SUMIFS(ejec_ICPA!F:F,ejec_ICPA!B:B,vigencia!A68,ejec_ICPA!A:A,vigencia!E68)</f>
        <v>0</v>
      </c>
      <c r="J68" s="268">
        <f>SUMIFS(ejec_ICPA!G:G,ejec_ICPA!B:B,vigencia!A68,ejec_ICPA!A:A,vigencia!E68)</f>
        <v>0</v>
      </c>
      <c r="K68" s="268">
        <f>SUMIFS(ejec_ICPA!H:H,ejec_ICPA!B:B,vigencia!A68,ejec_ICPA!A:A,vigencia!E68)</f>
        <v>129411733</v>
      </c>
      <c r="L68" s="268">
        <f t="shared" ref="L68" si="220">G68+H68-I68+J68-K68</f>
        <v>124822889</v>
      </c>
      <c r="M68" s="268">
        <f>SUMIFS(ejec_ICPA!K:K,ejec_ICPA!B:B,vigencia!A68,ejec_ICPA!A:A,vigencia!E68)</f>
        <v>99858310</v>
      </c>
      <c r="N68" s="268">
        <f>SUMIFS(ejec_ICPA!L:L,ejec_ICPA!B:B,vigencia!A68,ejec_ICPA!A:A,vigencia!E68)</f>
        <v>99858310</v>
      </c>
      <c r="O68" s="268">
        <f>SUMIFS(ejec_ICPA!J:J,ejec_ICPA!B:B,vigencia!A68,ejec_ICPA!A:A,vigencia!E68)</f>
        <v>99858310</v>
      </c>
      <c r="P68" s="268">
        <f>SUMIFS(ejec_ICPA!M:M,ejec_ICPA!B:B,vigencia!A68,ejec_ICPA!A:A,vigencia!E68)</f>
        <v>99858310</v>
      </c>
      <c r="Q68" s="269">
        <f t="shared" ref="Q68" si="221">L68-N68</f>
        <v>24964579</v>
      </c>
      <c r="R68" s="270">
        <f t="shared" ref="R68" si="222">N68/L68</f>
        <v>0.79999999038637859</v>
      </c>
      <c r="S68" s="271">
        <f t="shared" ref="S68" si="223">P68/L68</f>
        <v>0.79999999038637859</v>
      </c>
      <c r="T68" s="268">
        <f>SUMIFS(ejec_ICPA!N:N,ejec_ICPA!B:B,vigencia!A68,ejec_ICPA!A:A,vigencia!E68)</f>
        <v>-24964579</v>
      </c>
      <c r="U68" s="268">
        <f>SUMIFS(ejec_ICPA!O:O,ejec_ICPA!B:B,vigencia!A68,ejec_ICPA!A:A,vigencia!E68)</f>
        <v>0</v>
      </c>
      <c r="V68" s="268">
        <f>SUMIFS(ejec_ICPA!P:P,ejec_ICPA!B:B,vigencia!A68,ejec_ICPA!A:A,vigencia!E68)</f>
        <v>0</v>
      </c>
      <c r="W68" s="268">
        <f>SUMIFS(ejec_ICPA!Q:Q,ejec_ICPA!B:B,vigencia!A68,ejec_ICPA!A:A,vigencia!E68)</f>
        <v>0</v>
      </c>
      <c r="X68" s="272">
        <f t="shared" ref="X68" si="224">M68-N68</f>
        <v>0</v>
      </c>
      <c r="Y68" s="272">
        <f t="shared" ref="Y68" si="225">N68-O68</f>
        <v>0</v>
      </c>
      <c r="Z68" s="272">
        <f t="shared" ref="Z68" si="226">O68-P68</f>
        <v>0</v>
      </c>
    </row>
    <row r="69" spans="1:26" s="309" customFormat="1" x14ac:dyDescent="0.25">
      <c r="A69" s="289" t="s">
        <v>725</v>
      </c>
      <c r="B69" s="306"/>
      <c r="C69" s="307"/>
      <c r="D69" s="289" t="s">
        <v>734</v>
      </c>
      <c r="E69" s="289" t="s">
        <v>734</v>
      </c>
      <c r="F69" s="325"/>
      <c r="G69" s="308">
        <f t="shared" ref="G69:Q69" si="227">SUM(G70:G83)</f>
        <v>679925471</v>
      </c>
      <c r="H69" s="308">
        <f t="shared" si="227"/>
        <v>490552950</v>
      </c>
      <c r="I69" s="308">
        <f t="shared" si="227"/>
        <v>0</v>
      </c>
      <c r="J69" s="308">
        <f t="shared" si="227"/>
        <v>875663176</v>
      </c>
      <c r="K69" s="308">
        <f t="shared" si="227"/>
        <v>298751443</v>
      </c>
      <c r="L69" s="308">
        <f t="shared" si="227"/>
        <v>1747390154</v>
      </c>
      <c r="M69" s="308">
        <f t="shared" si="227"/>
        <v>1210432576</v>
      </c>
      <c r="N69" s="308">
        <f t="shared" si="227"/>
        <v>1210432576</v>
      </c>
      <c r="O69" s="308">
        <f t="shared" si="227"/>
        <v>1210432576</v>
      </c>
      <c r="P69" s="308">
        <f t="shared" si="227"/>
        <v>674909591</v>
      </c>
      <c r="Q69" s="308">
        <f t="shared" si="227"/>
        <v>536957578</v>
      </c>
      <c r="R69" s="294">
        <f t="shared" si="8"/>
        <v>0.69270882248544474</v>
      </c>
      <c r="S69" s="295">
        <f t="shared" si="9"/>
        <v>0.38623863677785153</v>
      </c>
      <c r="T69" s="308">
        <f t="shared" ref="T69:Z69" si="228">SUM(T70:T83)</f>
        <v>-144272574</v>
      </c>
      <c r="U69" s="308">
        <f t="shared" si="228"/>
        <v>0</v>
      </c>
      <c r="V69" s="308">
        <f t="shared" si="228"/>
        <v>634554604</v>
      </c>
      <c r="W69" s="308">
        <f t="shared" si="228"/>
        <v>99031619</v>
      </c>
      <c r="X69" s="308">
        <f t="shared" si="228"/>
        <v>0</v>
      </c>
      <c r="Y69" s="308">
        <f t="shared" si="228"/>
        <v>0</v>
      </c>
      <c r="Z69" s="308">
        <f t="shared" si="228"/>
        <v>535522985</v>
      </c>
    </row>
    <row r="70" spans="1:26" s="301" customFormat="1" x14ac:dyDescent="0.25">
      <c r="A70" s="297" t="s">
        <v>486</v>
      </c>
      <c r="B70" s="298" t="s">
        <v>762</v>
      </c>
      <c r="C70" s="304"/>
      <c r="D70" s="298" t="s">
        <v>752</v>
      </c>
      <c r="E70" s="264" t="s">
        <v>703</v>
      </c>
      <c r="F70" s="315" t="s">
        <v>917</v>
      </c>
      <c r="G70" s="268">
        <f>SUMIFS(ejec_ICPA!D:D,ejec_ICPA!B:B,vigencia!A70,ejec_ICPA!A:A,vigencia!E70)</f>
        <v>80000000</v>
      </c>
      <c r="H70" s="268">
        <f>SUMIFS(ejec_ICPA!E:E,ejec_ICPA!B:B,vigencia!A70,ejec_ICPA!A:A,vigencia!E70)</f>
        <v>160000000</v>
      </c>
      <c r="I70" s="268">
        <f>SUMIFS(ejec_ICPA!F:F,ejec_ICPA!B:B,vigencia!A70,ejec_ICPA!A:A,vigencia!E70)</f>
        <v>0</v>
      </c>
      <c r="J70" s="268">
        <f>SUMIFS(ejec_ICPA!G:G,ejec_ICPA!B:B,vigencia!A70,ejec_ICPA!A:A,vigencia!E70)</f>
        <v>5000000</v>
      </c>
      <c r="K70" s="268">
        <f>SUMIFS(ejec_ICPA!H:H,ejec_ICPA!B:B,vigencia!A70,ejec_ICPA!A:A,vigencia!E70)</f>
        <v>80000000</v>
      </c>
      <c r="L70" s="268">
        <f t="shared" ref="L70:L83" si="229">G70+H70-I70+J70-K70</f>
        <v>165000000</v>
      </c>
      <c r="M70" s="268">
        <f>SUMIFS(ejec_ICPA!K:K,ejec_ICPA!B:B,vigencia!A70,ejec_ICPA!A:A,vigencia!E70)</f>
        <v>156300000</v>
      </c>
      <c r="N70" s="268">
        <f>SUMIFS(ejec_ICPA!L:L,ejec_ICPA!B:B,vigencia!A70,ejec_ICPA!A:A,vigencia!E70)</f>
        <v>156300000</v>
      </c>
      <c r="O70" s="268">
        <f>SUMIFS(ejec_ICPA!J:J,ejec_ICPA!B:B,vigencia!A70,ejec_ICPA!A:A,vigencia!E70)</f>
        <v>156300000</v>
      </c>
      <c r="P70" s="268">
        <f>SUMIFS(ejec_ICPA!M:M,ejec_ICPA!B:B,vigencia!A70,ejec_ICPA!A:A,vigencia!E70)</f>
        <v>3100000</v>
      </c>
      <c r="Q70" s="269">
        <f t="shared" ref="Q70:Q83" si="230">L70-N70</f>
        <v>8700000</v>
      </c>
      <c r="R70" s="270">
        <f t="shared" si="8"/>
        <v>0.94727272727272727</v>
      </c>
      <c r="S70" s="271">
        <f t="shared" si="9"/>
        <v>1.8787878787878787E-2</v>
      </c>
      <c r="T70" s="268">
        <f>SUMIFS(ejec_ICPA!N:N,ejec_ICPA!B:B,vigencia!A70,ejec_ICPA!A:A,vigencia!E70)</f>
        <v>-8565554</v>
      </c>
      <c r="U70" s="268">
        <f>SUMIFS(ejec_ICPA!O:O,ejec_ICPA!B:B,vigencia!A70,ejec_ICPA!A:A,vigencia!E70)</f>
        <v>0</v>
      </c>
      <c r="V70" s="268">
        <f>SUMIFS(ejec_ICPA!P:P,ejec_ICPA!B:B,vigencia!A70,ejec_ICPA!A:A,vigencia!E70)</f>
        <v>156300000</v>
      </c>
      <c r="W70" s="268">
        <f>SUMIFS(ejec_ICPA!Q:Q,ejec_ICPA!B:B,vigencia!A70,ejec_ICPA!A:A,vigencia!E70)</f>
        <v>3100000</v>
      </c>
      <c r="X70" s="272">
        <f t="shared" ref="X70:X83" si="231">M70-N70</f>
        <v>0</v>
      </c>
      <c r="Y70" s="272">
        <f t="shared" ref="Y70:Y83" si="232">N70-O70</f>
        <v>0</v>
      </c>
      <c r="Z70" s="272">
        <f t="shared" ref="Z70:Z83" si="233">O70-P70</f>
        <v>153200000</v>
      </c>
    </row>
    <row r="71" spans="1:26" s="301" customFormat="1" x14ac:dyDescent="0.25">
      <c r="A71" s="297" t="s">
        <v>486</v>
      </c>
      <c r="B71" s="298" t="s">
        <v>762</v>
      </c>
      <c r="C71" s="304"/>
      <c r="D71" s="298" t="s">
        <v>752</v>
      </c>
      <c r="E71" s="264" t="s">
        <v>706</v>
      </c>
      <c r="F71" s="315" t="s">
        <v>917</v>
      </c>
      <c r="G71" s="268">
        <f>SUMIFS(ejec_ICPA!D:D,ejec_ICPA!B:B,vigencia!A71,ejec_ICPA!A:A,vigencia!E71)</f>
        <v>120000000</v>
      </c>
      <c r="H71" s="268">
        <f>SUMIFS(ejec_ICPA!E:E,ejec_ICPA!B:B,vigencia!A71,ejec_ICPA!A:A,vigencia!E71)</f>
        <v>0</v>
      </c>
      <c r="I71" s="268">
        <f>SUMIFS(ejec_ICPA!F:F,ejec_ICPA!B:B,vigencia!A71,ejec_ICPA!A:A,vigencia!E71)</f>
        <v>0</v>
      </c>
      <c r="J71" s="268">
        <f>SUMIFS(ejec_ICPA!G:G,ejec_ICPA!B:B,vigencia!A71,ejec_ICPA!A:A,vigencia!E71)</f>
        <v>80000000</v>
      </c>
      <c r="K71" s="268">
        <f>SUMIFS(ejec_ICPA!H:H,ejec_ICPA!B:B,vigencia!A71,ejec_ICPA!A:A,vigencia!E71)</f>
        <v>120000000</v>
      </c>
      <c r="L71" s="268">
        <f t="shared" ref="L71" si="234">G71+H71-I71+J71-K71</f>
        <v>80000000</v>
      </c>
      <c r="M71" s="268">
        <f>SUMIFS(ejec_ICPA!K:K,ejec_ICPA!B:B,vigencia!A71,ejec_ICPA!A:A,vigencia!E71)</f>
        <v>75691792</v>
      </c>
      <c r="N71" s="268">
        <f>SUMIFS(ejec_ICPA!L:L,ejec_ICPA!B:B,vigencia!A71,ejec_ICPA!A:A,vigencia!E71)</f>
        <v>75691792</v>
      </c>
      <c r="O71" s="268">
        <f>SUMIFS(ejec_ICPA!J:J,ejec_ICPA!B:B,vigencia!A71,ejec_ICPA!A:A,vigencia!E71)</f>
        <v>75691792</v>
      </c>
      <c r="P71" s="268">
        <f>SUMIFS(ejec_ICPA!M:M,ejec_ICPA!B:B,vigencia!A71,ejec_ICPA!A:A,vigencia!E71)</f>
        <v>75691792</v>
      </c>
      <c r="Q71" s="269">
        <f t="shared" ref="Q71" si="235">L71-N71</f>
        <v>4308208</v>
      </c>
      <c r="R71" s="270">
        <f t="shared" si="8"/>
        <v>0.94614739999999997</v>
      </c>
      <c r="S71" s="271">
        <f t="shared" si="9"/>
        <v>0.94614739999999997</v>
      </c>
      <c r="T71" s="268">
        <f>SUMIFS(ejec_ICPA!N:N,ejec_ICPA!B:B,vigencia!A71,ejec_ICPA!A:A,vigencia!E71)</f>
        <v>0</v>
      </c>
      <c r="U71" s="268">
        <f>SUMIFS(ejec_ICPA!O:O,ejec_ICPA!B:B,vigencia!A71,ejec_ICPA!A:A,vigencia!E71)</f>
        <v>0</v>
      </c>
      <c r="V71" s="268">
        <f>SUMIFS(ejec_ICPA!P:P,ejec_ICPA!B:B,vigencia!A71,ejec_ICPA!A:A,vigencia!E71)</f>
        <v>0</v>
      </c>
      <c r="W71" s="268">
        <f>SUMIFS(ejec_ICPA!Q:Q,ejec_ICPA!B:B,vigencia!A71,ejec_ICPA!A:A,vigencia!E71)</f>
        <v>0</v>
      </c>
      <c r="X71" s="272">
        <f t="shared" si="231"/>
        <v>0</v>
      </c>
      <c r="Y71" s="272">
        <f t="shared" si="232"/>
        <v>0</v>
      </c>
      <c r="Z71" s="272">
        <f t="shared" si="233"/>
        <v>0</v>
      </c>
    </row>
    <row r="72" spans="1:26" s="301" customFormat="1" ht="13.8" x14ac:dyDescent="0.3">
      <c r="A72" s="297" t="s">
        <v>486</v>
      </c>
      <c r="B72" s="298" t="s">
        <v>762</v>
      </c>
      <c r="C72" s="304"/>
      <c r="D72" s="298" t="s">
        <v>752</v>
      </c>
      <c r="E72" s="303" t="s">
        <v>896</v>
      </c>
      <c r="F72" s="315" t="s">
        <v>917</v>
      </c>
      <c r="G72" s="268">
        <f>SUMIFS(ejec_ICPA!D:D,ejec_ICPA!B:B,vigencia!A72,ejec_ICPA!A:A,vigencia!E72)</f>
        <v>0</v>
      </c>
      <c r="H72" s="268">
        <f>SUMIFS(ejec_ICPA!E:E,ejec_ICPA!B:B,vigencia!A72,ejec_ICPA!A:A,vigencia!E72)</f>
        <v>0</v>
      </c>
      <c r="I72" s="268">
        <f>SUMIFS(ejec_ICPA!F:F,ejec_ICPA!B:B,vigencia!A72,ejec_ICPA!A:A,vigencia!E72)</f>
        <v>0</v>
      </c>
      <c r="J72" s="268">
        <f>SUMIFS(ejec_ICPA!G:G,ejec_ICPA!B:B,vigencia!A72,ejec_ICPA!A:A,vigencia!E72)</f>
        <v>30699999</v>
      </c>
      <c r="K72" s="268">
        <f>SUMIFS(ejec_ICPA!H:H,ejec_ICPA!B:B,vigencia!A72,ejec_ICPA!A:A,vigencia!E72)</f>
        <v>6673450</v>
      </c>
      <c r="L72" s="268">
        <f t="shared" ref="L72:L75" si="236">G72+H72-I72+J72-K72</f>
        <v>24026549</v>
      </c>
      <c r="M72" s="268">
        <f>SUMIFS(ejec_ICPA!K:K,ejec_ICPA!B:B,vigencia!A72,ejec_ICPA!A:A,vigencia!E72)</f>
        <v>14154389</v>
      </c>
      <c r="N72" s="268">
        <f>SUMIFS(ejec_ICPA!L:L,ejec_ICPA!B:B,vigencia!A72,ejec_ICPA!A:A,vigencia!E72)</f>
        <v>14154389</v>
      </c>
      <c r="O72" s="268">
        <f>SUMIFS(ejec_ICPA!J:J,ejec_ICPA!B:B,vigencia!A72,ejec_ICPA!A:A,vigencia!E72)</f>
        <v>14154389</v>
      </c>
      <c r="P72" s="268">
        <f>SUMIFS(ejec_ICPA!M:M,ejec_ICPA!B:B,vigencia!A72,ejec_ICPA!A:A,vigencia!E72)</f>
        <v>14154389</v>
      </c>
      <c r="Q72" s="269">
        <f t="shared" ref="Q72:Q75" si="237">L72-N72</f>
        <v>9872160</v>
      </c>
      <c r="R72" s="270">
        <f t="shared" ref="R72:R75" si="238">N72/L72</f>
        <v>0.5891145249365608</v>
      </c>
      <c r="S72" s="271">
        <f t="shared" ref="S72:S75" si="239">P72/L72</f>
        <v>0.5891145249365608</v>
      </c>
      <c r="T72" s="268">
        <f>SUMIFS(ejec_ICPA!N:N,ejec_ICPA!B:B,vigencia!A72,ejec_ICPA!A:A,vigencia!E72)</f>
        <v>-704221</v>
      </c>
      <c r="U72" s="268">
        <f>SUMIFS(ejec_ICPA!O:O,ejec_ICPA!B:B,vigencia!A72,ejec_ICPA!A:A,vigencia!E72)</f>
        <v>0</v>
      </c>
      <c r="V72" s="268">
        <f>SUMIFS(ejec_ICPA!P:P,ejec_ICPA!B:B,vigencia!A72,ejec_ICPA!A:A,vigencia!E72)</f>
        <v>14154389</v>
      </c>
      <c r="W72" s="268">
        <f>SUMIFS(ejec_ICPA!Q:Q,ejec_ICPA!B:B,vigencia!A72,ejec_ICPA!A:A,vigencia!E72)</f>
        <v>14154389</v>
      </c>
      <c r="X72" s="272">
        <f t="shared" ref="X72:X75" si="240">M72-N72</f>
        <v>0</v>
      </c>
      <c r="Y72" s="272">
        <f t="shared" ref="Y72:Y75" si="241">N72-O72</f>
        <v>0</v>
      </c>
      <c r="Z72" s="272">
        <f t="shared" ref="Z72:Z75" si="242">O72-P72</f>
        <v>0</v>
      </c>
    </row>
    <row r="73" spans="1:26" s="301" customFormat="1" ht="13.8" x14ac:dyDescent="0.3">
      <c r="A73" s="297" t="s">
        <v>486</v>
      </c>
      <c r="B73" s="298" t="s">
        <v>762</v>
      </c>
      <c r="C73" s="304"/>
      <c r="D73" s="298" t="s">
        <v>752</v>
      </c>
      <c r="E73" s="303" t="s">
        <v>897</v>
      </c>
      <c r="F73" s="315" t="s">
        <v>917</v>
      </c>
      <c r="G73" s="268">
        <f>SUMIFS(ejec_ICPA!D:D,ejec_ICPA!B:B,vigencia!A73,ejec_ICPA!A:A,vigencia!E73)</f>
        <v>0</v>
      </c>
      <c r="H73" s="268">
        <f>SUMIFS(ejec_ICPA!E:E,ejec_ICPA!B:B,vigencia!A73,ejec_ICPA!A:A,vigencia!E73)</f>
        <v>0</v>
      </c>
      <c r="I73" s="268">
        <f>SUMIFS(ejec_ICPA!F:F,ejec_ICPA!B:B,vigencia!A73,ejec_ICPA!A:A,vigencia!E73)</f>
        <v>0</v>
      </c>
      <c r="J73" s="268">
        <f>SUMIFS(ejec_ICPA!G:G,ejec_ICPA!B:B,vigencia!A73,ejec_ICPA!A:A,vigencia!E73)</f>
        <v>40341314</v>
      </c>
      <c r="K73" s="268">
        <f>SUMIFS(ejec_ICPA!H:H,ejec_ICPA!B:B,vigencia!A73,ejec_ICPA!A:A,vigencia!E73)</f>
        <v>0</v>
      </c>
      <c r="L73" s="268">
        <f t="shared" si="236"/>
        <v>40341314</v>
      </c>
      <c r="M73" s="268">
        <f>SUMIFS(ejec_ICPA!K:K,ejec_ICPA!B:B,vigencia!A73,ejec_ICPA!A:A,vigencia!E73)</f>
        <v>23325217</v>
      </c>
      <c r="N73" s="268">
        <f>SUMIFS(ejec_ICPA!L:L,ejec_ICPA!B:B,vigencia!A73,ejec_ICPA!A:A,vigencia!E73)</f>
        <v>23325217</v>
      </c>
      <c r="O73" s="268">
        <f>SUMIFS(ejec_ICPA!J:J,ejec_ICPA!B:B,vigencia!A73,ejec_ICPA!A:A,vigencia!E73)</f>
        <v>23325217</v>
      </c>
      <c r="P73" s="268">
        <f>SUMIFS(ejec_ICPA!M:M,ejec_ICPA!B:B,vigencia!A73,ejec_ICPA!A:A,vigencia!E73)</f>
        <v>0</v>
      </c>
      <c r="Q73" s="269">
        <f t="shared" si="237"/>
        <v>17016097</v>
      </c>
      <c r="R73" s="270">
        <f t="shared" si="238"/>
        <v>0.57819675878678622</v>
      </c>
      <c r="S73" s="271">
        <f t="shared" si="239"/>
        <v>0</v>
      </c>
      <c r="T73" s="268">
        <f>SUMIFS(ejec_ICPA!N:N,ejec_ICPA!B:B,vigencia!A73,ejec_ICPA!A:A,vigencia!E73)</f>
        <v>-10342647</v>
      </c>
      <c r="U73" s="268">
        <f>SUMIFS(ejec_ICPA!O:O,ejec_ICPA!B:B,vigencia!A73,ejec_ICPA!A:A,vigencia!E73)</f>
        <v>0</v>
      </c>
      <c r="V73" s="268">
        <f>SUMIFS(ejec_ICPA!P:P,ejec_ICPA!B:B,vigencia!A73,ejec_ICPA!A:A,vigencia!E73)</f>
        <v>23325217</v>
      </c>
      <c r="W73" s="268">
        <f>SUMIFS(ejec_ICPA!Q:Q,ejec_ICPA!B:B,vigencia!A73,ejec_ICPA!A:A,vigencia!E73)</f>
        <v>0</v>
      </c>
      <c r="X73" s="272">
        <f t="shared" si="240"/>
        <v>0</v>
      </c>
      <c r="Y73" s="272">
        <f t="shared" si="241"/>
        <v>0</v>
      </c>
      <c r="Z73" s="272">
        <f t="shared" si="242"/>
        <v>23325217</v>
      </c>
    </row>
    <row r="74" spans="1:26" s="301" customFormat="1" ht="13.8" x14ac:dyDescent="0.3">
      <c r="A74" s="297" t="s">
        <v>486</v>
      </c>
      <c r="B74" s="298" t="s">
        <v>762</v>
      </c>
      <c r="C74" s="304"/>
      <c r="D74" s="298" t="s">
        <v>752</v>
      </c>
      <c r="E74" s="303" t="s">
        <v>898</v>
      </c>
      <c r="F74" s="315" t="s">
        <v>917</v>
      </c>
      <c r="G74" s="268">
        <f>SUMIFS(ejec_ICPA!D:D,ejec_ICPA!B:B,vigencia!A74,ejec_ICPA!A:A,vigencia!E74)</f>
        <v>0</v>
      </c>
      <c r="H74" s="268">
        <f>SUMIFS(ejec_ICPA!E:E,ejec_ICPA!B:B,vigencia!A74,ejec_ICPA!A:A,vigencia!E74)</f>
        <v>0</v>
      </c>
      <c r="I74" s="268">
        <f>SUMIFS(ejec_ICPA!F:F,ejec_ICPA!B:B,vigencia!A74,ejec_ICPA!A:A,vigencia!E74)</f>
        <v>0</v>
      </c>
      <c r="J74" s="268">
        <f>SUMIFS(ejec_ICPA!G:G,ejec_ICPA!B:B,vigencia!A74,ejec_ICPA!A:A,vigencia!E74)</f>
        <v>44072667</v>
      </c>
      <c r="K74" s="268">
        <f>SUMIFS(ejec_ICPA!H:H,ejec_ICPA!B:B,vigencia!A74,ejec_ICPA!A:A,vigencia!E74)</f>
        <v>0</v>
      </c>
      <c r="L74" s="268">
        <f t="shared" si="236"/>
        <v>44072667</v>
      </c>
      <c r="M74" s="268">
        <f>SUMIFS(ejec_ICPA!K:K,ejec_ICPA!B:B,vigencia!A74,ejec_ICPA!A:A,vigencia!E74)</f>
        <v>18054000</v>
      </c>
      <c r="N74" s="268">
        <f>SUMIFS(ejec_ICPA!L:L,ejec_ICPA!B:B,vigencia!A74,ejec_ICPA!A:A,vigencia!E74)</f>
        <v>18054000</v>
      </c>
      <c r="O74" s="268">
        <f>SUMIFS(ejec_ICPA!J:J,ejec_ICPA!B:B,vigencia!A74,ejec_ICPA!A:A,vigencia!E74)</f>
        <v>18054000</v>
      </c>
      <c r="P74" s="268">
        <f>SUMIFS(ejec_ICPA!M:M,ejec_ICPA!B:B,vigencia!A74,ejec_ICPA!A:A,vigencia!E74)</f>
        <v>4374000</v>
      </c>
      <c r="Q74" s="269">
        <f t="shared" si="237"/>
        <v>26018667</v>
      </c>
      <c r="R74" s="270">
        <f t="shared" si="238"/>
        <v>0.40964164932428526</v>
      </c>
      <c r="S74" s="271">
        <f t="shared" si="239"/>
        <v>9.9245185230110985E-2</v>
      </c>
      <c r="T74" s="268">
        <f>SUMIFS(ejec_ICPA!N:N,ejec_ICPA!B:B,vigencia!A74,ejec_ICPA!A:A,vigencia!E74)</f>
        <v>-23487352</v>
      </c>
      <c r="U74" s="268">
        <f>SUMIFS(ejec_ICPA!O:O,ejec_ICPA!B:B,vigencia!A74,ejec_ICPA!A:A,vigencia!E74)</f>
        <v>0</v>
      </c>
      <c r="V74" s="268">
        <f>SUMIFS(ejec_ICPA!P:P,ejec_ICPA!B:B,vigencia!A74,ejec_ICPA!A:A,vigencia!E74)</f>
        <v>18054000</v>
      </c>
      <c r="W74" s="268">
        <f>SUMIFS(ejec_ICPA!Q:Q,ejec_ICPA!B:B,vigencia!A74,ejec_ICPA!A:A,vigencia!E74)</f>
        <v>4374000</v>
      </c>
      <c r="X74" s="272">
        <f t="shared" si="240"/>
        <v>0</v>
      </c>
      <c r="Y74" s="272">
        <f t="shared" si="241"/>
        <v>0</v>
      </c>
      <c r="Z74" s="272">
        <f t="shared" si="242"/>
        <v>13680000</v>
      </c>
    </row>
    <row r="75" spans="1:26" s="301" customFormat="1" ht="13.8" x14ac:dyDescent="0.3">
      <c r="A75" s="297" t="s">
        <v>486</v>
      </c>
      <c r="B75" s="298" t="s">
        <v>762</v>
      </c>
      <c r="C75" s="304"/>
      <c r="D75" s="298" t="s">
        <v>752</v>
      </c>
      <c r="E75" s="303" t="s">
        <v>899</v>
      </c>
      <c r="F75" s="315" t="s">
        <v>917</v>
      </c>
      <c r="G75" s="268">
        <f>SUMIFS(ejec_ICPA!D:D,ejec_ICPA!B:B,vigencia!A75,ejec_ICPA!A:A,vigencia!E75)</f>
        <v>0</v>
      </c>
      <c r="H75" s="268">
        <f>SUMIFS(ejec_ICPA!E:E,ejec_ICPA!B:B,vigencia!A75,ejec_ICPA!A:A,vigencia!E75)</f>
        <v>0</v>
      </c>
      <c r="I75" s="268">
        <f>SUMIFS(ejec_ICPA!F:F,ejec_ICPA!B:B,vigencia!A75,ejec_ICPA!A:A,vigencia!E75)</f>
        <v>0</v>
      </c>
      <c r="J75" s="268">
        <f>SUMIFS(ejec_ICPA!G:G,ejec_ICPA!B:B,vigencia!A75,ejec_ICPA!A:A,vigencia!E75)</f>
        <v>6559470</v>
      </c>
      <c r="K75" s="268">
        <f>SUMIFS(ejec_ICPA!H:H,ejec_ICPA!B:B,vigencia!A75,ejec_ICPA!A:A,vigencia!E75)</f>
        <v>0</v>
      </c>
      <c r="L75" s="268">
        <f t="shared" si="236"/>
        <v>6559470</v>
      </c>
      <c r="M75" s="268">
        <f>SUMIFS(ejec_ICPA!K:K,ejec_ICPA!B:B,vigencia!A75,ejec_ICPA!A:A,vigencia!E75)</f>
        <v>2079999</v>
      </c>
      <c r="N75" s="268">
        <f>SUMIFS(ejec_ICPA!L:L,ejec_ICPA!B:B,vigencia!A75,ejec_ICPA!A:A,vigencia!E75)</f>
        <v>2079999</v>
      </c>
      <c r="O75" s="268">
        <f>SUMIFS(ejec_ICPA!J:J,ejec_ICPA!B:B,vigencia!A75,ejec_ICPA!A:A,vigencia!E75)</f>
        <v>2079999</v>
      </c>
      <c r="P75" s="268">
        <f>SUMIFS(ejec_ICPA!M:M,ejec_ICPA!B:B,vigencia!A75,ejec_ICPA!A:A,vigencia!E75)</f>
        <v>0</v>
      </c>
      <c r="Q75" s="269">
        <f t="shared" si="237"/>
        <v>4479471</v>
      </c>
      <c r="R75" s="270">
        <f t="shared" si="238"/>
        <v>0.31709863754236239</v>
      </c>
      <c r="S75" s="271">
        <f t="shared" si="239"/>
        <v>0</v>
      </c>
      <c r="T75" s="268">
        <f>SUMIFS(ejec_ICPA!N:N,ejec_ICPA!B:B,vigencia!A75,ejec_ICPA!A:A,vigencia!E75)</f>
        <v>-4479471</v>
      </c>
      <c r="U75" s="268">
        <f>SUMIFS(ejec_ICPA!O:O,ejec_ICPA!B:B,vigencia!A75,ejec_ICPA!A:A,vigencia!E75)</f>
        <v>0</v>
      </c>
      <c r="V75" s="268">
        <f>SUMIFS(ejec_ICPA!P:P,ejec_ICPA!B:B,vigencia!A75,ejec_ICPA!A:A,vigencia!E75)</f>
        <v>2079999</v>
      </c>
      <c r="W75" s="268">
        <f>SUMIFS(ejec_ICPA!Q:Q,ejec_ICPA!B:B,vigencia!A75,ejec_ICPA!A:A,vigencia!E75)</f>
        <v>0</v>
      </c>
      <c r="X75" s="272">
        <f t="shared" si="240"/>
        <v>0</v>
      </c>
      <c r="Y75" s="272">
        <f t="shared" si="241"/>
        <v>0</v>
      </c>
      <c r="Z75" s="272">
        <f t="shared" si="242"/>
        <v>2079999</v>
      </c>
    </row>
    <row r="76" spans="1:26" s="301" customFormat="1" ht="13.8" x14ac:dyDescent="0.3">
      <c r="A76" s="297" t="s">
        <v>486</v>
      </c>
      <c r="B76" s="298" t="s">
        <v>762</v>
      </c>
      <c r="C76" s="304"/>
      <c r="D76" s="298" t="s">
        <v>752</v>
      </c>
      <c r="E76" s="303" t="s">
        <v>891</v>
      </c>
      <c r="F76" s="315" t="s">
        <v>918</v>
      </c>
      <c r="G76" s="268">
        <f>SUMIFS(ejec_ICPA!D:D,ejec_ICPA!B:B,vigencia!A76,ejec_ICPA!A:A,vigencia!E76)</f>
        <v>0</v>
      </c>
      <c r="H76" s="268">
        <f>SUMIFS(ejec_ICPA!E:E,ejec_ICPA!B:B,vigencia!A76,ejec_ICPA!A:A,vigencia!E76)</f>
        <v>140552950</v>
      </c>
      <c r="I76" s="268">
        <f>SUMIFS(ejec_ICPA!F:F,ejec_ICPA!B:B,vigencia!A76,ejec_ICPA!A:A,vigencia!E76)</f>
        <v>0</v>
      </c>
      <c r="J76" s="268">
        <f>SUMIFS(ejec_ICPA!G:G,ejec_ICPA!B:B,vigencia!A76,ejec_ICPA!A:A,vigencia!E76)</f>
        <v>129411733</v>
      </c>
      <c r="K76" s="268">
        <f>SUMIFS(ejec_ICPA!H:H,ejec_ICPA!B:B,vigencia!A76,ejec_ICPA!A:A,vigencia!E76)</f>
        <v>62077993</v>
      </c>
      <c r="L76" s="268">
        <f t="shared" ref="L76:L82" si="243">G76+H76-I76+J76-K76</f>
        <v>207886690</v>
      </c>
      <c r="M76" s="268">
        <f>SUMIFS(ejec_ICPA!K:K,ejec_ICPA!B:B,vigencia!A76,ejec_ICPA!A:A,vigencia!E76)</f>
        <v>197886690</v>
      </c>
      <c r="N76" s="268">
        <f>SUMIFS(ejec_ICPA!L:L,ejec_ICPA!B:B,vigencia!A76,ejec_ICPA!A:A,vigencia!E76)</f>
        <v>197886690</v>
      </c>
      <c r="O76" s="268">
        <f>SUMIFS(ejec_ICPA!J:J,ejec_ICPA!B:B,vigencia!A76,ejec_ICPA!A:A,vigencia!E76)</f>
        <v>197886690</v>
      </c>
      <c r="P76" s="268">
        <f>SUMIFS(ejec_ICPA!M:M,ejec_ICPA!B:B,vigencia!A76,ejec_ICPA!A:A,vigencia!E76)</f>
        <v>197886690</v>
      </c>
      <c r="Q76" s="269">
        <f t="shared" ref="Q76:Q82" si="244">L76-N76</f>
        <v>10000000</v>
      </c>
      <c r="R76" s="270">
        <f t="shared" ref="R76:R82" si="245">N76/L76</f>
        <v>0.95189687228172226</v>
      </c>
      <c r="S76" s="271">
        <f t="shared" ref="S76:S82" si="246">P76/L76</f>
        <v>0.95189687228172226</v>
      </c>
      <c r="T76" s="268">
        <f>SUMIFS(ejec_ICPA!N:N,ejec_ICPA!B:B,vigencia!A76,ejec_ICPA!A:A,vigencia!E76)</f>
        <v>0</v>
      </c>
      <c r="U76" s="268">
        <f>SUMIFS(ejec_ICPA!O:O,ejec_ICPA!B:B,vigencia!A76,ejec_ICPA!A:A,vigencia!E76)</f>
        <v>0</v>
      </c>
      <c r="V76" s="268">
        <f>SUMIFS(ejec_ICPA!P:P,ejec_ICPA!B:B,vigencia!A76,ejec_ICPA!A:A,vigencia!E76)</f>
        <v>14903230</v>
      </c>
      <c r="W76" s="268">
        <f>SUMIFS(ejec_ICPA!Q:Q,ejec_ICPA!B:B,vigencia!A76,ejec_ICPA!A:A,vigencia!E76)</f>
        <v>14903230</v>
      </c>
      <c r="X76" s="272">
        <f t="shared" ref="X76:X82" si="247">M76-N76</f>
        <v>0</v>
      </c>
      <c r="Y76" s="272">
        <f t="shared" ref="Y76:Y82" si="248">N76-O76</f>
        <v>0</v>
      </c>
      <c r="Z76" s="272">
        <f t="shared" ref="Z76:Z82" si="249">O76-P76</f>
        <v>0</v>
      </c>
    </row>
    <row r="77" spans="1:26" s="301" customFormat="1" ht="13.2" x14ac:dyDescent="0.25">
      <c r="A77" s="297" t="s">
        <v>486</v>
      </c>
      <c r="B77" s="298" t="s">
        <v>762</v>
      </c>
      <c r="C77" s="304"/>
      <c r="D77" s="298" t="s">
        <v>752</v>
      </c>
      <c r="E77" s="327" t="s">
        <v>939</v>
      </c>
      <c r="F77" s="315" t="s">
        <v>918</v>
      </c>
      <c r="G77" s="268">
        <f>SUMIFS(ejec_ICPA!D:D,ejec_ICPA!B:B,vigencia!A77,ejec_ICPA!A:A,vigencia!E77)</f>
        <v>0</v>
      </c>
      <c r="H77" s="268">
        <f>SUMIFS(ejec_ICPA!E:E,ejec_ICPA!B:B,vigencia!A77,ejec_ICPA!A:A,vigencia!E77)</f>
        <v>0</v>
      </c>
      <c r="I77" s="268">
        <f>SUMIFS(ejec_ICPA!F:F,ejec_ICPA!B:B,vigencia!A77,ejec_ICPA!A:A,vigencia!E77)</f>
        <v>0</v>
      </c>
      <c r="J77" s="268">
        <f>SUMIFS(ejec_ICPA!G:G,ejec_ICPA!B:B,vigencia!A77,ejec_ICPA!A:A,vigencia!E77)</f>
        <v>17585210</v>
      </c>
      <c r="K77" s="268">
        <f>SUMIFS(ejec_ICPA!H:H,ejec_ICPA!B:B,vigencia!A77,ejec_ICPA!A:A,vigencia!E77)</f>
        <v>0</v>
      </c>
      <c r="L77" s="268">
        <f t="shared" ref="L77:L79" si="250">G77+H77-I77+J77-K77</f>
        <v>17585210</v>
      </c>
      <c r="M77" s="268">
        <f>SUMIFS(ejec_ICPA!K:K,ejec_ICPA!B:B,vigencia!A77,ejec_ICPA!A:A,vigencia!E77)</f>
        <v>8500000</v>
      </c>
      <c r="N77" s="268">
        <f>SUMIFS(ejec_ICPA!L:L,ejec_ICPA!B:B,vigencia!A77,ejec_ICPA!A:A,vigencia!E77)</f>
        <v>8500000</v>
      </c>
      <c r="O77" s="268">
        <f>SUMIFS(ejec_ICPA!J:J,ejec_ICPA!B:B,vigencia!A77,ejec_ICPA!A:A,vigencia!E77)</f>
        <v>8500000</v>
      </c>
      <c r="P77" s="268">
        <f>SUMIFS(ejec_ICPA!M:M,ejec_ICPA!B:B,vigencia!A77,ejec_ICPA!A:A,vigencia!E77)</f>
        <v>2500000</v>
      </c>
      <c r="Q77" s="269">
        <f t="shared" ref="Q77:Q79" si="251">L77-N77</f>
        <v>9085210</v>
      </c>
      <c r="R77" s="270">
        <f t="shared" ref="R77:R79" si="252">N77/L77</f>
        <v>0.48336073325254575</v>
      </c>
      <c r="S77" s="271">
        <f t="shared" ref="S77:S79" si="253">P77/L77</f>
        <v>0.1421649215448664</v>
      </c>
      <c r="T77" s="268">
        <f>SUMIFS(ejec_ICPA!N:N,ejec_ICPA!B:B,vigencia!A77,ejec_ICPA!A:A,vigencia!E77)</f>
        <v>-9085210</v>
      </c>
      <c r="U77" s="268">
        <f>SUMIFS(ejec_ICPA!O:O,ejec_ICPA!B:B,vigencia!A77,ejec_ICPA!A:A,vigencia!E77)</f>
        <v>0</v>
      </c>
      <c r="V77" s="268">
        <f>SUMIFS(ejec_ICPA!P:P,ejec_ICPA!B:B,vigencia!A77,ejec_ICPA!A:A,vigencia!E77)</f>
        <v>8500000</v>
      </c>
      <c r="W77" s="268">
        <f>SUMIFS(ejec_ICPA!Q:Q,ejec_ICPA!B:B,vigencia!A77,ejec_ICPA!A:A,vigencia!E77)</f>
        <v>2500000</v>
      </c>
      <c r="X77" s="272">
        <f t="shared" ref="X77:X79" si="254">M77-N77</f>
        <v>0</v>
      </c>
      <c r="Y77" s="272">
        <f t="shared" ref="Y77:Y79" si="255">N77-O77</f>
        <v>0</v>
      </c>
      <c r="Z77" s="272">
        <f t="shared" ref="Z77:Z79" si="256">O77-P77</f>
        <v>6000000</v>
      </c>
    </row>
    <row r="78" spans="1:26" s="301" customFormat="1" ht="13.2" x14ac:dyDescent="0.25">
      <c r="A78" s="297" t="s">
        <v>486</v>
      </c>
      <c r="B78" s="298" t="s">
        <v>762</v>
      </c>
      <c r="C78" s="304"/>
      <c r="D78" s="298" t="s">
        <v>752</v>
      </c>
      <c r="E78" s="327" t="s">
        <v>937</v>
      </c>
      <c r="F78" s="315" t="s">
        <v>918</v>
      </c>
      <c r="G78" s="268">
        <f>SUMIFS(ejec_ICPA!D:D,ejec_ICPA!B:B,vigencia!A78,ejec_ICPA!A:A,vigencia!E78)</f>
        <v>0</v>
      </c>
      <c r="H78" s="268">
        <f>SUMIFS(ejec_ICPA!E:E,ejec_ICPA!B:B,vigencia!A78,ejec_ICPA!A:A,vigencia!E78)</f>
        <v>0</v>
      </c>
      <c r="I78" s="268">
        <f>SUMIFS(ejec_ICPA!F:F,ejec_ICPA!B:B,vigencia!A78,ejec_ICPA!A:A,vigencia!E78)</f>
        <v>0</v>
      </c>
      <c r="J78" s="268">
        <f>SUMIFS(ejec_ICPA!G:G,ejec_ICPA!B:B,vigencia!A78,ejec_ICPA!A:A,vigencia!E78)</f>
        <v>63766233</v>
      </c>
      <c r="K78" s="268">
        <f>SUMIFS(ejec_ICPA!H:H,ejec_ICPA!B:B,vigencia!A78,ejec_ICPA!A:A,vigencia!E78)</f>
        <v>0</v>
      </c>
      <c r="L78" s="268">
        <f t="shared" si="250"/>
        <v>63766233</v>
      </c>
      <c r="M78" s="268">
        <f>SUMIFS(ejec_ICPA!K:K,ejec_ICPA!B:B,vigencia!A78,ejec_ICPA!A:A,vigencia!E78)</f>
        <v>26046103</v>
      </c>
      <c r="N78" s="268">
        <f>SUMIFS(ejec_ICPA!L:L,ejec_ICPA!B:B,vigencia!A78,ejec_ICPA!A:A,vigencia!E78)</f>
        <v>26046103</v>
      </c>
      <c r="O78" s="268">
        <f>SUMIFS(ejec_ICPA!J:J,ejec_ICPA!B:B,vigencia!A78,ejec_ICPA!A:A,vigencia!E78)</f>
        <v>26046103</v>
      </c>
      <c r="P78" s="268">
        <f>SUMIFS(ejec_ICPA!M:M,ejec_ICPA!B:B,vigencia!A78,ejec_ICPA!A:A,vigencia!E78)</f>
        <v>0</v>
      </c>
      <c r="Q78" s="269">
        <f t="shared" si="251"/>
        <v>37720130</v>
      </c>
      <c r="R78" s="270">
        <f t="shared" si="252"/>
        <v>0.40846231264751048</v>
      </c>
      <c r="S78" s="271">
        <f t="shared" si="253"/>
        <v>0</v>
      </c>
      <c r="T78" s="268">
        <f>SUMIFS(ejec_ICPA!N:N,ejec_ICPA!B:B,vigencia!A78,ejec_ICPA!A:A,vigencia!E78)</f>
        <v>-18113093</v>
      </c>
      <c r="U78" s="268">
        <f>SUMIFS(ejec_ICPA!O:O,ejec_ICPA!B:B,vigencia!A78,ejec_ICPA!A:A,vigencia!E78)</f>
        <v>0</v>
      </c>
      <c r="V78" s="268">
        <f>SUMIFS(ejec_ICPA!P:P,ejec_ICPA!B:B,vigencia!A78,ejec_ICPA!A:A,vigencia!E78)</f>
        <v>26046103</v>
      </c>
      <c r="W78" s="268">
        <f>SUMIFS(ejec_ICPA!Q:Q,ejec_ICPA!B:B,vigencia!A78,ejec_ICPA!A:A,vigencia!E78)</f>
        <v>0</v>
      </c>
      <c r="X78" s="272">
        <f t="shared" si="254"/>
        <v>0</v>
      </c>
      <c r="Y78" s="272">
        <f t="shared" si="255"/>
        <v>0</v>
      </c>
      <c r="Z78" s="272">
        <f t="shared" si="256"/>
        <v>26046103</v>
      </c>
    </row>
    <row r="79" spans="1:26" s="301" customFormat="1" ht="13.2" x14ac:dyDescent="0.25">
      <c r="A79" s="297" t="s">
        <v>486</v>
      </c>
      <c r="B79" s="298" t="s">
        <v>762</v>
      </c>
      <c r="C79" s="304"/>
      <c r="D79" s="298" t="s">
        <v>752</v>
      </c>
      <c r="E79" s="327" t="s">
        <v>938</v>
      </c>
      <c r="F79" s="315" t="s">
        <v>918</v>
      </c>
      <c r="G79" s="268">
        <f>SUMIFS(ejec_ICPA!D:D,ejec_ICPA!B:B,vigencia!A79,ejec_ICPA!A:A,vigencia!E79)</f>
        <v>0</v>
      </c>
      <c r="H79" s="268">
        <f>SUMIFS(ejec_ICPA!E:E,ejec_ICPA!B:B,vigencia!A79,ejec_ICPA!A:A,vigencia!E79)</f>
        <v>0</v>
      </c>
      <c r="I79" s="268">
        <f>SUMIFS(ejec_ICPA!F:F,ejec_ICPA!B:B,vigencia!A79,ejec_ICPA!A:A,vigencia!E79)</f>
        <v>0</v>
      </c>
      <c r="J79" s="268">
        <f>SUMIFS(ejec_ICPA!G:G,ejec_ICPA!B:B,vigencia!A79,ejec_ICPA!A:A,vigencia!E79)</f>
        <v>77426550</v>
      </c>
      <c r="K79" s="268">
        <f>SUMIFS(ejec_ICPA!H:H,ejec_ICPA!B:B,vigencia!A79,ejec_ICPA!A:A,vigencia!E79)</f>
        <v>30000000</v>
      </c>
      <c r="L79" s="268">
        <f t="shared" si="250"/>
        <v>47426550</v>
      </c>
      <c r="M79" s="268">
        <f>SUMIFS(ejec_ICPA!K:K,ejec_ICPA!B:B,vigencia!A79,ejec_ICPA!A:A,vigencia!E79)</f>
        <v>42055112</v>
      </c>
      <c r="N79" s="268">
        <f>SUMIFS(ejec_ICPA!L:L,ejec_ICPA!B:B,vigencia!A79,ejec_ICPA!A:A,vigencia!E79)</f>
        <v>42055112</v>
      </c>
      <c r="O79" s="268">
        <f>SUMIFS(ejec_ICPA!J:J,ejec_ICPA!B:B,vigencia!A79,ejec_ICPA!A:A,vigencia!E79)</f>
        <v>42055112</v>
      </c>
      <c r="P79" s="268">
        <f>SUMIFS(ejec_ICPA!M:M,ejec_ICPA!B:B,vigencia!A79,ejec_ICPA!A:A,vigencia!E79)</f>
        <v>12000000</v>
      </c>
      <c r="Q79" s="269">
        <f t="shared" si="251"/>
        <v>5371438</v>
      </c>
      <c r="R79" s="270">
        <f t="shared" si="252"/>
        <v>0.88674196204446665</v>
      </c>
      <c r="S79" s="271">
        <f t="shared" si="253"/>
        <v>0.25302283214781596</v>
      </c>
      <c r="T79" s="268">
        <f>SUMIFS(ejec_ICPA!N:N,ejec_ICPA!B:B,vigencia!A79,ejec_ICPA!A:A,vigencia!E79)</f>
        <v>-5221438</v>
      </c>
      <c r="U79" s="268">
        <f>SUMIFS(ejec_ICPA!O:O,ejec_ICPA!B:B,vigencia!A79,ejec_ICPA!A:A,vigencia!E79)</f>
        <v>0</v>
      </c>
      <c r="V79" s="268">
        <f>SUMIFS(ejec_ICPA!P:P,ejec_ICPA!B:B,vigencia!A79,ejec_ICPA!A:A,vigencia!E79)</f>
        <v>30055112</v>
      </c>
      <c r="W79" s="268">
        <f>SUMIFS(ejec_ICPA!Q:Q,ejec_ICPA!B:B,vigencia!A79,ejec_ICPA!A:A,vigencia!E79)</f>
        <v>0</v>
      </c>
      <c r="X79" s="272">
        <f t="shared" si="254"/>
        <v>0</v>
      </c>
      <c r="Y79" s="272">
        <f t="shared" si="255"/>
        <v>0</v>
      </c>
      <c r="Z79" s="272">
        <f t="shared" si="256"/>
        <v>30055112</v>
      </c>
    </row>
    <row r="80" spans="1:26" s="301" customFormat="1" ht="13.2" x14ac:dyDescent="0.25">
      <c r="A80" s="297" t="s">
        <v>486</v>
      </c>
      <c r="B80" s="298" t="s">
        <v>762</v>
      </c>
      <c r="C80" s="304"/>
      <c r="D80" s="298" t="s">
        <v>752</v>
      </c>
      <c r="E80" s="353" t="s">
        <v>973</v>
      </c>
      <c r="F80" s="315" t="s">
        <v>918</v>
      </c>
      <c r="G80" s="268">
        <f>SUMIFS(ejec_ICPA!D:D,ejec_ICPA!B:B,vigencia!A80,ejec_ICPA!A:A,vigencia!E80)</f>
        <v>0</v>
      </c>
      <c r="H80" s="268">
        <f>SUMIFS(ejec_ICPA!E:E,ejec_ICPA!B:B,vigencia!A80,ejec_ICPA!A:A,vigencia!E80)</f>
        <v>0</v>
      </c>
      <c r="I80" s="268">
        <f>SUMIFS(ejec_ICPA!F:F,ejec_ICPA!B:B,vigencia!A80,ejec_ICPA!A:A,vigencia!E80)</f>
        <v>0</v>
      </c>
      <c r="J80" s="268">
        <f>SUMIFS(ejec_ICPA!G:G,ejec_ICPA!B:B,vigencia!A80,ejec_ICPA!A:A,vigencia!E80)</f>
        <v>17800000</v>
      </c>
      <c r="K80" s="268">
        <f>SUMIFS(ejec_ICPA!H:H,ejec_ICPA!B:B,vigencia!A80,ejec_ICPA!A:A,vigencia!E80)</f>
        <v>0</v>
      </c>
      <c r="L80" s="268">
        <f t="shared" ref="L80:L81" si="257">G80+H80-I80+J80-K80</f>
        <v>17800000</v>
      </c>
      <c r="M80" s="268">
        <f>SUMIFS(ejec_ICPA!K:K,ejec_ICPA!B:B,vigencia!A80,ejec_ICPA!A:A,vigencia!E80)</f>
        <v>17332863</v>
      </c>
      <c r="N80" s="268">
        <f>SUMIFS(ejec_ICPA!L:L,ejec_ICPA!B:B,vigencia!A80,ejec_ICPA!A:A,vigencia!E80)</f>
        <v>17332863</v>
      </c>
      <c r="O80" s="268">
        <f>SUMIFS(ejec_ICPA!J:J,ejec_ICPA!B:B,vigencia!A80,ejec_ICPA!A:A,vigencia!E80)</f>
        <v>17332863</v>
      </c>
      <c r="P80" s="268">
        <f>SUMIFS(ejec_ICPA!M:M,ejec_ICPA!B:B,vigencia!A80,ejec_ICPA!A:A,vigencia!E80)</f>
        <v>0</v>
      </c>
      <c r="Q80" s="269">
        <f t="shared" ref="Q80:Q81" si="258">L80-N80</f>
        <v>467137</v>
      </c>
      <c r="R80" s="270">
        <f t="shared" ref="R80:R81" si="259">N80/L80</f>
        <v>0.97375634831460678</v>
      </c>
      <c r="S80" s="271">
        <f t="shared" ref="S80:S81" si="260">P80/L80</f>
        <v>0</v>
      </c>
      <c r="T80" s="268">
        <f>SUMIFS(ejec_ICPA!N:N,ejec_ICPA!B:B,vigencia!A80,ejec_ICPA!A:A,vigencia!E80)</f>
        <v>-439724</v>
      </c>
      <c r="U80" s="268">
        <f>SUMIFS(ejec_ICPA!O:O,ejec_ICPA!B:B,vigencia!A80,ejec_ICPA!A:A,vigencia!E80)</f>
        <v>0</v>
      </c>
      <c r="V80" s="268">
        <f>SUMIFS(ejec_ICPA!P:P,ejec_ICPA!B:B,vigencia!A80,ejec_ICPA!A:A,vigencia!E80)</f>
        <v>17332863</v>
      </c>
      <c r="W80" s="268">
        <f>SUMIFS(ejec_ICPA!Q:Q,ejec_ICPA!B:B,vigencia!A80,ejec_ICPA!A:A,vigencia!E80)</f>
        <v>0</v>
      </c>
      <c r="X80" s="272">
        <f t="shared" ref="X80:X81" si="261">M80-N80</f>
        <v>0</v>
      </c>
      <c r="Y80" s="272">
        <f t="shared" ref="Y80:Y81" si="262">N80-O80</f>
        <v>0</v>
      </c>
      <c r="Z80" s="272">
        <f t="shared" ref="Z80:Z81" si="263">O80-P80</f>
        <v>17332863</v>
      </c>
    </row>
    <row r="81" spans="1:26" s="301" customFormat="1" ht="13.2" x14ac:dyDescent="0.25">
      <c r="A81" s="297" t="s">
        <v>486</v>
      </c>
      <c r="B81" s="298" t="s">
        <v>762</v>
      </c>
      <c r="C81" s="304"/>
      <c r="D81" s="298" t="s">
        <v>752</v>
      </c>
      <c r="E81" s="353" t="s">
        <v>974</v>
      </c>
      <c r="F81" s="315" t="s">
        <v>918</v>
      </c>
      <c r="G81" s="268">
        <f>SUMIFS(ejec_ICPA!D:D,ejec_ICPA!B:B,vigencia!A81,ejec_ICPA!A:A,vigencia!E81)</f>
        <v>0</v>
      </c>
      <c r="H81" s="268">
        <f>SUMIFS(ejec_ICPA!E:E,ejec_ICPA!B:B,vigencia!A81,ejec_ICPA!A:A,vigencia!E81)</f>
        <v>0</v>
      </c>
      <c r="I81" s="268">
        <f>SUMIFS(ejec_ICPA!F:F,ejec_ICPA!B:B,vigencia!A81,ejec_ICPA!A:A,vigencia!E81)</f>
        <v>0</v>
      </c>
      <c r="J81" s="268">
        <f>SUMIFS(ejec_ICPA!G:G,ejec_ICPA!B:B,vigencia!A81,ejec_ICPA!A:A,vigencia!E81)</f>
        <v>13000000</v>
      </c>
      <c r="K81" s="268">
        <f>SUMIFS(ejec_ICPA!H:H,ejec_ICPA!B:B,vigencia!A81,ejec_ICPA!A:A,vigencia!E81)</f>
        <v>0</v>
      </c>
      <c r="L81" s="268">
        <f t="shared" si="257"/>
        <v>13000000</v>
      </c>
      <c r="M81" s="268">
        <f>SUMIFS(ejec_ICPA!K:K,ejec_ICPA!B:B,vigencia!A81,ejec_ICPA!A:A,vigencia!E81)</f>
        <v>964855</v>
      </c>
      <c r="N81" s="268">
        <f>SUMIFS(ejec_ICPA!L:L,ejec_ICPA!B:B,vigencia!A81,ejec_ICPA!A:A,vigencia!E81)</f>
        <v>964855</v>
      </c>
      <c r="O81" s="268">
        <f>SUMIFS(ejec_ICPA!J:J,ejec_ICPA!B:B,vigencia!A81,ejec_ICPA!A:A,vigencia!E81)</f>
        <v>964855</v>
      </c>
      <c r="P81" s="268">
        <f>SUMIFS(ejec_ICPA!M:M,ejec_ICPA!B:B,vigencia!A81,ejec_ICPA!A:A,vigencia!E81)</f>
        <v>0</v>
      </c>
      <c r="Q81" s="269">
        <f t="shared" si="258"/>
        <v>12035145</v>
      </c>
      <c r="R81" s="270">
        <f t="shared" si="259"/>
        <v>7.4219615384615384E-2</v>
      </c>
      <c r="S81" s="271">
        <f t="shared" si="260"/>
        <v>0</v>
      </c>
      <c r="T81" s="268">
        <f>SUMIFS(ejec_ICPA!N:N,ejec_ICPA!B:B,vigencia!A81,ejec_ICPA!A:A,vigencia!E81)</f>
        <v>-12024478</v>
      </c>
      <c r="U81" s="268">
        <f>SUMIFS(ejec_ICPA!O:O,ejec_ICPA!B:B,vigencia!A81,ejec_ICPA!A:A,vigencia!E81)</f>
        <v>0</v>
      </c>
      <c r="V81" s="268">
        <f>SUMIFS(ejec_ICPA!P:P,ejec_ICPA!B:B,vigencia!A81,ejec_ICPA!A:A,vigencia!E81)</f>
        <v>964855</v>
      </c>
      <c r="W81" s="268">
        <f>SUMIFS(ejec_ICPA!Q:Q,ejec_ICPA!B:B,vigencia!A81,ejec_ICPA!A:A,vigencia!E81)</f>
        <v>0</v>
      </c>
      <c r="X81" s="272">
        <f t="shared" si="261"/>
        <v>0</v>
      </c>
      <c r="Y81" s="272">
        <f t="shared" si="262"/>
        <v>0</v>
      </c>
      <c r="Z81" s="272">
        <f t="shared" si="263"/>
        <v>964855</v>
      </c>
    </row>
    <row r="82" spans="1:26" s="301" customFormat="1" x14ac:dyDescent="0.25">
      <c r="A82" s="297" t="s">
        <v>499</v>
      </c>
      <c r="B82" s="298" t="s">
        <v>761</v>
      </c>
      <c r="C82" s="304"/>
      <c r="D82" s="298" t="s">
        <v>752</v>
      </c>
      <c r="E82" s="264" t="s">
        <v>714</v>
      </c>
      <c r="F82" s="315" t="s">
        <v>919</v>
      </c>
      <c r="G82" s="268">
        <f>SUMIFS(ejec_ICPA!D:D,ejec_ICPA!B:B,vigencia!A82,ejec_ICPA!A:A,vigencia!E82)</f>
        <v>443875471</v>
      </c>
      <c r="H82" s="268">
        <f>SUMIFS(ejec_ICPA!E:E,ejec_ICPA!B:B,vigencia!A82,ejec_ICPA!A:A,vigencia!E82)</f>
        <v>190000000</v>
      </c>
      <c r="I82" s="268">
        <f>SUMIFS(ejec_ICPA!F:F,ejec_ICPA!B:B,vigencia!A82,ejec_ICPA!A:A,vigencia!E82)</f>
        <v>0</v>
      </c>
      <c r="J82" s="268">
        <f>SUMIFS(ejec_ICPA!G:G,ejec_ICPA!B:B,vigencia!A82,ejec_ICPA!A:A,vigencia!E82)</f>
        <v>350000000</v>
      </c>
      <c r="K82" s="268">
        <f>SUMIFS(ejec_ICPA!H:H,ejec_ICPA!B:B,vigencia!A82,ejec_ICPA!A:A,vigencia!E82)</f>
        <v>0</v>
      </c>
      <c r="L82" s="268">
        <f t="shared" si="243"/>
        <v>983875471</v>
      </c>
      <c r="M82" s="268">
        <f>SUMIFS(ejec_ICPA!K:K,ejec_ICPA!B:B,vigencia!A82,ejec_ICPA!A:A,vigencia!E82)</f>
        <v>591991556</v>
      </c>
      <c r="N82" s="268">
        <f>SUMIFS(ejec_ICPA!L:L,ejec_ICPA!B:B,vigencia!A82,ejec_ICPA!A:A,vigencia!E82)</f>
        <v>591991556</v>
      </c>
      <c r="O82" s="268">
        <f>SUMIFS(ejec_ICPA!J:J,ejec_ICPA!B:B,vigencia!A82,ejec_ICPA!A:A,vigencia!E82)</f>
        <v>591991556</v>
      </c>
      <c r="P82" s="268">
        <f>SUMIFS(ejec_ICPA!M:M,ejec_ICPA!B:B,vigencia!A82,ejec_ICPA!A:A,vigencia!E82)</f>
        <v>336362720</v>
      </c>
      <c r="Q82" s="269">
        <f t="shared" si="244"/>
        <v>391883915</v>
      </c>
      <c r="R82" s="270">
        <f t="shared" si="245"/>
        <v>0.60169358160571518</v>
      </c>
      <c r="S82" s="271">
        <f t="shared" si="246"/>
        <v>0.34187529815955742</v>
      </c>
      <c r="T82" s="268">
        <f>SUMIFS(ejec_ICPA!N:N,ejec_ICPA!B:B,vigencia!A82,ejec_ICPA!A:A,vigencia!E82)</f>
        <v>-51809386</v>
      </c>
      <c r="U82" s="268">
        <f>SUMIFS(ejec_ICPA!O:O,ejec_ICPA!B:B,vigencia!A82,ejec_ICPA!A:A,vigencia!E82)</f>
        <v>0</v>
      </c>
      <c r="V82" s="268">
        <f>SUMIFS(ejec_ICPA!P:P,ejec_ICPA!B:B,vigencia!A82,ejec_ICPA!A:A,vigencia!E82)</f>
        <v>315628836</v>
      </c>
      <c r="W82" s="268">
        <f>SUMIFS(ejec_ICPA!Q:Q,ejec_ICPA!B:B,vigencia!A82,ejec_ICPA!A:A,vigencia!E82)</f>
        <v>60000000</v>
      </c>
      <c r="X82" s="272">
        <f t="shared" si="247"/>
        <v>0</v>
      </c>
      <c r="Y82" s="272">
        <f t="shared" si="248"/>
        <v>0</v>
      </c>
      <c r="Z82" s="272">
        <f t="shared" si="249"/>
        <v>255628836</v>
      </c>
    </row>
    <row r="83" spans="1:26" s="301" customFormat="1" x14ac:dyDescent="0.25">
      <c r="A83" s="297" t="s">
        <v>499</v>
      </c>
      <c r="B83" s="298" t="s">
        <v>761</v>
      </c>
      <c r="C83" s="304"/>
      <c r="D83" s="298" t="s">
        <v>752</v>
      </c>
      <c r="E83" s="264" t="s">
        <v>715</v>
      </c>
      <c r="F83" s="316" t="s">
        <v>920</v>
      </c>
      <c r="G83" s="268">
        <f>SUMIFS(ejec_ICPA!D:D,ejec_ICPA!B:B,vigencia!A83,ejec_ICPA!A:A,vigencia!E83)</f>
        <v>36050000</v>
      </c>
      <c r="H83" s="268">
        <f>SUMIFS(ejec_ICPA!E:E,ejec_ICPA!B:B,vigencia!A83,ejec_ICPA!A:A,vigencia!E83)</f>
        <v>0</v>
      </c>
      <c r="I83" s="268">
        <f>SUMIFS(ejec_ICPA!F:F,ejec_ICPA!B:B,vigencia!A83,ejec_ICPA!A:A,vigencia!E83)</f>
        <v>0</v>
      </c>
      <c r="J83" s="268">
        <f>SUMIFS(ejec_ICPA!G:G,ejec_ICPA!B:B,vigencia!A83,ejec_ICPA!A:A,vigencia!E83)</f>
        <v>0</v>
      </c>
      <c r="K83" s="268">
        <f>SUMIFS(ejec_ICPA!H:H,ejec_ICPA!B:B,vigencia!A83,ejec_ICPA!A:A,vigencia!E83)</f>
        <v>0</v>
      </c>
      <c r="L83" s="268">
        <f t="shared" si="229"/>
        <v>36050000</v>
      </c>
      <c r="M83" s="268">
        <f>SUMIFS(ejec_ICPA!K:K,ejec_ICPA!B:B,vigencia!A83,ejec_ICPA!A:A,vigencia!E83)</f>
        <v>36050000</v>
      </c>
      <c r="N83" s="268">
        <f>SUMIFS(ejec_ICPA!L:L,ejec_ICPA!B:B,vigencia!A83,ejec_ICPA!A:A,vigencia!E83)</f>
        <v>36050000</v>
      </c>
      <c r="O83" s="268">
        <f>SUMIFS(ejec_ICPA!J:J,ejec_ICPA!B:B,vigencia!A83,ejec_ICPA!A:A,vigencia!E83)</f>
        <v>36050000</v>
      </c>
      <c r="P83" s="268">
        <f>SUMIFS(ejec_ICPA!M:M,ejec_ICPA!B:B,vigencia!A83,ejec_ICPA!A:A,vigencia!E83)</f>
        <v>28840000</v>
      </c>
      <c r="Q83" s="269">
        <f t="shared" si="230"/>
        <v>0</v>
      </c>
      <c r="R83" s="270">
        <f t="shared" si="8"/>
        <v>1</v>
      </c>
      <c r="S83" s="271">
        <f t="shared" si="9"/>
        <v>0.8</v>
      </c>
      <c r="T83" s="268">
        <f>SUMIFS(ejec_ICPA!N:N,ejec_ICPA!B:B,vigencia!A83,ejec_ICPA!A:A,vigencia!E83)</f>
        <v>0</v>
      </c>
      <c r="U83" s="268">
        <f>SUMIFS(ejec_ICPA!O:O,ejec_ICPA!B:B,vigencia!A83,ejec_ICPA!A:A,vigencia!E83)</f>
        <v>0</v>
      </c>
      <c r="V83" s="268">
        <f>SUMIFS(ejec_ICPA!P:P,ejec_ICPA!B:B,vigencia!A83,ejec_ICPA!A:A,vigencia!E83)</f>
        <v>7210000</v>
      </c>
      <c r="W83" s="268">
        <f>SUMIFS(ejec_ICPA!Q:Q,ejec_ICPA!B:B,vigencia!A83,ejec_ICPA!A:A,vigencia!E83)</f>
        <v>0</v>
      </c>
      <c r="X83" s="272">
        <f t="shared" si="231"/>
        <v>0</v>
      </c>
      <c r="Y83" s="272">
        <f t="shared" si="232"/>
        <v>0</v>
      </c>
      <c r="Z83" s="272">
        <f t="shared" si="233"/>
        <v>7210000</v>
      </c>
    </row>
    <row r="84" spans="1:26" s="263" customFormat="1" x14ac:dyDescent="0.25">
      <c r="A84" s="259" t="s">
        <v>726</v>
      </c>
      <c r="B84" s="274"/>
      <c r="C84" s="275"/>
      <c r="D84" s="288" t="s">
        <v>727</v>
      </c>
      <c r="E84" s="288" t="s">
        <v>727</v>
      </c>
      <c r="F84" s="322"/>
      <c r="G84" s="277">
        <f>G85</f>
        <v>2149387204</v>
      </c>
      <c r="H84" s="277">
        <f t="shared" ref="H84:P84" si="264">H85</f>
        <v>903558656</v>
      </c>
      <c r="I84" s="277">
        <f t="shared" si="264"/>
        <v>701874892</v>
      </c>
      <c r="J84" s="277">
        <f t="shared" si="264"/>
        <v>1763755429</v>
      </c>
      <c r="K84" s="277">
        <f t="shared" si="264"/>
        <v>1995529930</v>
      </c>
      <c r="L84" s="277">
        <f t="shared" si="264"/>
        <v>2119296467</v>
      </c>
      <c r="M84" s="277">
        <f t="shared" si="264"/>
        <v>1529698873</v>
      </c>
      <c r="N84" s="277">
        <f t="shared" si="264"/>
        <v>1529698873</v>
      </c>
      <c r="O84" s="277">
        <f t="shared" si="264"/>
        <v>1529698873</v>
      </c>
      <c r="P84" s="277">
        <f t="shared" si="264"/>
        <v>1054710229</v>
      </c>
      <c r="Q84" s="277">
        <f t="shared" ref="Q84" si="265">Q85</f>
        <v>589597594</v>
      </c>
      <c r="R84" s="278">
        <f t="shared" si="8"/>
        <v>0.72179560378609364</v>
      </c>
      <c r="S84" s="278">
        <f t="shared" si="9"/>
        <v>0.49766997936490215</v>
      </c>
      <c r="T84" s="277">
        <f t="shared" ref="T84" si="266">T85</f>
        <v>-313779475</v>
      </c>
      <c r="U84" s="277">
        <f t="shared" ref="U84" si="267">U85</f>
        <v>0</v>
      </c>
      <c r="V84" s="277">
        <f t="shared" ref="V84" si="268">V85</f>
        <v>1128202927</v>
      </c>
      <c r="W84" s="277">
        <f t="shared" ref="W84" si="269">W85</f>
        <v>653214283</v>
      </c>
      <c r="X84" s="277">
        <f t="shared" ref="X84" si="270">X85</f>
        <v>0</v>
      </c>
      <c r="Y84" s="277">
        <f t="shared" ref="Y84" si="271">Y85</f>
        <v>0</v>
      </c>
      <c r="Z84" s="277">
        <f t="shared" ref="Z84" si="272">Z85</f>
        <v>474988644</v>
      </c>
    </row>
    <row r="85" spans="1:26" s="296" customFormat="1" x14ac:dyDescent="0.25">
      <c r="A85" s="289" t="s">
        <v>729</v>
      </c>
      <c r="B85" s="290"/>
      <c r="C85" s="291"/>
      <c r="D85" s="292" t="s">
        <v>728</v>
      </c>
      <c r="E85" s="292" t="s">
        <v>728</v>
      </c>
      <c r="F85" s="324"/>
      <c r="G85" s="293">
        <f>SUM(G86:G88)</f>
        <v>2149387204</v>
      </c>
      <c r="H85" s="293">
        <f t="shared" ref="H85:Q85" si="273">SUM(H86:H88)</f>
        <v>903558656</v>
      </c>
      <c r="I85" s="293">
        <f t="shared" si="273"/>
        <v>701874892</v>
      </c>
      <c r="J85" s="293">
        <f>SUM(J86:J88)</f>
        <v>1763755429</v>
      </c>
      <c r="K85" s="293">
        <f t="shared" si="273"/>
        <v>1995529930</v>
      </c>
      <c r="L85" s="293">
        <f t="shared" si="273"/>
        <v>2119296467</v>
      </c>
      <c r="M85" s="293">
        <f t="shared" si="273"/>
        <v>1529698873</v>
      </c>
      <c r="N85" s="293">
        <f t="shared" si="273"/>
        <v>1529698873</v>
      </c>
      <c r="O85" s="293">
        <f t="shared" si="273"/>
        <v>1529698873</v>
      </c>
      <c r="P85" s="293">
        <f t="shared" si="273"/>
        <v>1054710229</v>
      </c>
      <c r="Q85" s="293">
        <f t="shared" si="273"/>
        <v>589597594</v>
      </c>
      <c r="R85" s="294">
        <f t="shared" si="8"/>
        <v>0.72179560378609364</v>
      </c>
      <c r="S85" s="295">
        <f t="shared" si="9"/>
        <v>0.49766997936490215</v>
      </c>
      <c r="T85" s="293">
        <f t="shared" ref="T85:Z85" si="274">SUM(T86:T88)</f>
        <v>-313779475</v>
      </c>
      <c r="U85" s="293">
        <f t="shared" si="274"/>
        <v>0</v>
      </c>
      <c r="V85" s="293">
        <f t="shared" si="274"/>
        <v>1128202927</v>
      </c>
      <c r="W85" s="293">
        <f t="shared" si="274"/>
        <v>653214283</v>
      </c>
      <c r="X85" s="293">
        <f t="shared" si="274"/>
        <v>0</v>
      </c>
      <c r="Y85" s="293">
        <f t="shared" si="274"/>
        <v>0</v>
      </c>
      <c r="Z85" s="293">
        <f t="shared" si="274"/>
        <v>474988644</v>
      </c>
    </row>
    <row r="86" spans="1:26" s="301" customFormat="1" x14ac:dyDescent="0.25">
      <c r="A86" s="297" t="s">
        <v>448</v>
      </c>
      <c r="B86" s="298" t="s">
        <v>763</v>
      </c>
      <c r="C86" s="304"/>
      <c r="D86" s="298" t="s">
        <v>752</v>
      </c>
      <c r="E86" s="264" t="s">
        <v>713</v>
      </c>
      <c r="F86" s="315" t="s">
        <v>922</v>
      </c>
      <c r="G86" s="268">
        <f>SUMIFS(ejec_ICPA!D:D,ejec_ICPA!B:B,vigencia!A86,ejec_ICPA!A:A,vigencia!E86)</f>
        <v>221062382</v>
      </c>
      <c r="H86" s="268">
        <f>SUMIFS(ejec_ICPA!E:E,ejec_ICPA!B:B,vigencia!A86,ejec_ICPA!A:A,vigencia!E86)</f>
        <v>840000000</v>
      </c>
      <c r="I86" s="268">
        <f>SUMIFS(ejec_ICPA!F:F,ejec_ICPA!B:B,vigencia!A86,ejec_ICPA!A:A,vigencia!E86)</f>
        <v>0</v>
      </c>
      <c r="J86" s="268">
        <f>SUMIFS(ejec_ICPA!G:G,ejec_ICPA!B:B,vigencia!A86,ejec_ICPA!A:A,vigencia!E86)</f>
        <v>495000000</v>
      </c>
      <c r="K86" s="268">
        <f>SUMIFS(ejec_ICPA!H:H,ejec_ICPA!B:B,vigencia!A86,ejec_ICPA!A:A,vigencia!E86)</f>
        <v>845000000</v>
      </c>
      <c r="L86" s="268">
        <f t="shared" ref="L86:L87" si="275">G86+H86-I86+J86-K86</f>
        <v>711062382</v>
      </c>
      <c r="M86" s="268">
        <f>SUMIFS(ejec_ICPA!K:K,ejec_ICPA!B:B,vigencia!A86,ejec_ICPA!A:A,vigencia!E86)</f>
        <v>663510780</v>
      </c>
      <c r="N86" s="268">
        <f>SUMIFS(ejec_ICPA!L:L,ejec_ICPA!B:B,vigencia!A86,ejec_ICPA!A:A,vigencia!E86)</f>
        <v>663510780</v>
      </c>
      <c r="O86" s="268">
        <f>SUMIFS(ejec_ICPA!J:J,ejec_ICPA!B:B,vigencia!A86,ejec_ICPA!A:A,vigencia!E86)</f>
        <v>663510780</v>
      </c>
      <c r="P86" s="268">
        <f>SUMIFS(ejec_ICPA!M:M,ejec_ICPA!B:B,vigencia!A86,ejec_ICPA!A:A,vigencia!E86)</f>
        <v>383937561</v>
      </c>
      <c r="Q86" s="269">
        <f t="shared" ref="Q86:Q87" si="276">L86-N86</f>
        <v>47551602</v>
      </c>
      <c r="R86" s="270">
        <f t="shared" ref="R86:R87" si="277">N86/L86</f>
        <v>0.93312597712418432</v>
      </c>
      <c r="S86" s="271">
        <f t="shared" ref="S86:S87" si="278">P86/L86</f>
        <v>0.53994919534359509</v>
      </c>
      <c r="T86" s="268">
        <f>SUMIFS(ejec_ICPA!N:N,ejec_ICPA!B:B,vigencia!A86,ejec_ICPA!A:A,vigencia!E86)</f>
        <v>-5</v>
      </c>
      <c r="U86" s="268">
        <f>SUMIFS(ejec_ICPA!O:O,ejec_ICPA!B:B,vigencia!A86,ejec_ICPA!A:A,vigencia!E86)</f>
        <v>0</v>
      </c>
      <c r="V86" s="268">
        <f>SUMIFS(ejec_ICPA!P:P,ejec_ICPA!B:B,vigencia!A86,ejec_ICPA!A:A,vigencia!E86)</f>
        <v>555519682</v>
      </c>
      <c r="W86" s="268">
        <f>SUMIFS(ejec_ICPA!Q:Q,ejec_ICPA!B:B,vigencia!A86,ejec_ICPA!A:A,vigencia!E86)</f>
        <v>275946463</v>
      </c>
      <c r="X86" s="272">
        <f t="shared" ref="X86:X87" si="279">M86-N86</f>
        <v>0</v>
      </c>
      <c r="Y86" s="272">
        <f t="shared" ref="Y86:Y87" si="280">N86-O86</f>
        <v>0</v>
      </c>
      <c r="Z86" s="272">
        <f t="shared" ref="Z86:Z87" si="281">O86-P86</f>
        <v>279573219</v>
      </c>
    </row>
    <row r="87" spans="1:26" s="301" customFormat="1" x14ac:dyDescent="0.25">
      <c r="A87" s="297" t="s">
        <v>448</v>
      </c>
      <c r="B87" s="298" t="s">
        <v>763</v>
      </c>
      <c r="C87" s="304"/>
      <c r="D87" s="298" t="s">
        <v>752</v>
      </c>
      <c r="E87" s="264" t="s">
        <v>712</v>
      </c>
      <c r="F87" s="316" t="s">
        <v>921</v>
      </c>
      <c r="G87" s="268">
        <f>SUMIFS(ejec_ICPA!D:D,ejec_ICPA!B:B,vigencia!A87,ejec_ICPA!A:A,vigencia!E87)</f>
        <v>1928324822</v>
      </c>
      <c r="H87" s="268">
        <f>SUMIFS(ejec_ICPA!E:E,ejec_ICPA!B:B,vigencia!A87,ejec_ICPA!A:A,vigencia!E87)</f>
        <v>0</v>
      </c>
      <c r="I87" s="268">
        <f>SUMIFS(ejec_ICPA!F:F,ejec_ICPA!B:B,vigencia!A87,ejec_ICPA!A:A,vigencia!E87)</f>
        <v>701874892</v>
      </c>
      <c r="J87" s="268">
        <f>SUMIFS(ejec_ICPA!G:G,ejec_ICPA!B:B,vigencia!A87,ejec_ICPA!A:A,vigencia!E87)</f>
        <v>1135529930</v>
      </c>
      <c r="K87" s="268">
        <f>SUMIFS(ejec_ICPA!H:H,ejec_ICPA!B:B,vigencia!A87,ejec_ICPA!A:A,vigencia!E87)</f>
        <v>1135529930</v>
      </c>
      <c r="L87" s="268">
        <f t="shared" si="275"/>
        <v>1226449930</v>
      </c>
      <c r="M87" s="268">
        <f>SUMIFS(ejec_ICPA!K:K,ejec_ICPA!B:B,vigencia!A87,ejec_ICPA!A:A,vigencia!E87)</f>
        <v>795597825</v>
      </c>
      <c r="N87" s="268">
        <f>SUMIFS(ejec_ICPA!L:L,ejec_ICPA!B:B,vigencia!A87,ejec_ICPA!A:A,vigencia!E87)</f>
        <v>795597825</v>
      </c>
      <c r="O87" s="268">
        <f>SUMIFS(ejec_ICPA!J:J,ejec_ICPA!B:B,vigencia!A87,ejec_ICPA!A:A,vigencia!E87)</f>
        <v>795597825</v>
      </c>
      <c r="P87" s="268">
        <f>SUMIFS(ejec_ICPA!M:M,ejec_ICPA!B:B,vigencia!A87,ejec_ICPA!A:A,vigencia!E87)</f>
        <v>600182400</v>
      </c>
      <c r="Q87" s="269">
        <f t="shared" si="276"/>
        <v>430852105</v>
      </c>
      <c r="R87" s="270">
        <f t="shared" si="277"/>
        <v>0.64869980056992627</v>
      </c>
      <c r="S87" s="271">
        <f t="shared" si="278"/>
        <v>0.48936559521838774</v>
      </c>
      <c r="T87" s="268">
        <f>SUMIFS(ejec_ICPA!N:N,ejec_ICPA!B:B,vigencia!A87,ejec_ICPA!A:A,vigencia!E87)</f>
        <v>-222059477</v>
      </c>
      <c r="U87" s="268">
        <f>SUMIFS(ejec_ICPA!O:O,ejec_ICPA!B:B,vigencia!A87,ejec_ICPA!A:A,vigencia!E87)</f>
        <v>0</v>
      </c>
      <c r="V87" s="268">
        <f>SUMIFS(ejec_ICPA!P:P,ejec_ICPA!B:B,vigencia!A87,ejec_ICPA!A:A,vigencia!E87)</f>
        <v>543685825</v>
      </c>
      <c r="W87" s="268">
        <f>SUMIFS(ejec_ICPA!Q:Q,ejec_ICPA!B:B,vigencia!A87,ejec_ICPA!A:A,vigencia!E87)</f>
        <v>348270400</v>
      </c>
      <c r="X87" s="272">
        <f t="shared" si="279"/>
        <v>0</v>
      </c>
      <c r="Y87" s="272">
        <f t="shared" si="280"/>
        <v>0</v>
      </c>
      <c r="Z87" s="272">
        <f t="shared" si="281"/>
        <v>195415425</v>
      </c>
    </row>
    <row r="88" spans="1:26" ht="13.8" x14ac:dyDescent="0.3">
      <c r="A88" s="297" t="s">
        <v>448</v>
      </c>
      <c r="B88" s="298" t="s">
        <v>763</v>
      </c>
      <c r="C88" s="304"/>
      <c r="D88" s="298" t="s">
        <v>752</v>
      </c>
      <c r="E88" s="303" t="s">
        <v>893</v>
      </c>
      <c r="F88" s="313" t="s">
        <v>923</v>
      </c>
      <c r="G88" s="268">
        <f>SUMIFS(ejec_ICPA!D:D,ejec_ICPA!B:B,vigencia!A88,ejec_ICPA!A:A,vigencia!E88)</f>
        <v>0</v>
      </c>
      <c r="H88" s="268">
        <f>SUMIFS(ejec_ICPA!E:E,ejec_ICPA!B:B,vigencia!A88,ejec_ICPA!A:A,vigencia!E88)</f>
        <v>63558656</v>
      </c>
      <c r="I88" s="268">
        <f>SUMIFS(ejec_ICPA!F:F,ejec_ICPA!B:B,vigencia!A88,ejec_ICPA!A:A,vigencia!E88)</f>
        <v>0</v>
      </c>
      <c r="J88" s="268">
        <f>SUMIFS(ejec_ICPA!G:G,ejec_ICPA!B:B,vigencia!A88,ejec_ICPA!A:A,vigencia!E88)</f>
        <v>133225499</v>
      </c>
      <c r="K88" s="268">
        <f>SUMIFS(ejec_ICPA!H:H,ejec_ICPA!B:B,vigencia!A88,ejec_ICPA!A:A,vigencia!E88)</f>
        <v>15000000</v>
      </c>
      <c r="L88" s="268">
        <f t="shared" ref="L88" si="282">G88+H88-I88+J88-K88</f>
        <v>181784155</v>
      </c>
      <c r="M88" s="268">
        <f>SUMIFS(ejec_ICPA!K:K,ejec_ICPA!B:B,vigencia!A88,ejec_ICPA!A:A,vigencia!E88)</f>
        <v>70590268</v>
      </c>
      <c r="N88" s="268">
        <f>SUMIFS(ejec_ICPA!L:L,ejec_ICPA!B:B,vigencia!A88,ejec_ICPA!A:A,vigencia!E88)</f>
        <v>70590268</v>
      </c>
      <c r="O88" s="268">
        <f>SUMIFS(ejec_ICPA!J:J,ejec_ICPA!B:B,vigencia!A88,ejec_ICPA!A:A,vigencia!E88)</f>
        <v>70590268</v>
      </c>
      <c r="P88" s="268">
        <f>SUMIFS(ejec_ICPA!M:M,ejec_ICPA!B:B,vigencia!A88,ejec_ICPA!A:A,vigencia!E88)</f>
        <v>70590268</v>
      </c>
      <c r="Q88" s="269">
        <f t="shared" ref="Q88" si="283">L88-N88</f>
        <v>111193887</v>
      </c>
      <c r="R88" s="270">
        <f t="shared" ref="R88" si="284">N88/L88</f>
        <v>0.38831914695755526</v>
      </c>
      <c r="S88" s="271">
        <f t="shared" ref="S88" si="285">P88/L88</f>
        <v>0.38831914695755526</v>
      </c>
      <c r="T88" s="268">
        <f>SUMIFS(ejec_ICPA!N:N,ejec_ICPA!B:B,vigencia!A88,ejec_ICPA!A:A,vigencia!E88)</f>
        <v>-91719993</v>
      </c>
      <c r="U88" s="268">
        <f>SUMIFS(ejec_ICPA!O:O,ejec_ICPA!B:B,vigencia!A88,ejec_ICPA!A:A,vigencia!E88)</f>
        <v>0</v>
      </c>
      <c r="V88" s="268">
        <f>SUMIFS(ejec_ICPA!P:P,ejec_ICPA!B:B,vigencia!A88,ejec_ICPA!A:A,vigencia!E88)</f>
        <v>28997420</v>
      </c>
      <c r="W88" s="268">
        <f>SUMIFS(ejec_ICPA!Q:Q,ejec_ICPA!B:B,vigencia!A88,ejec_ICPA!A:A,vigencia!E88)</f>
        <v>28997420</v>
      </c>
      <c r="X88" s="272">
        <f t="shared" ref="X88" si="286">M88-N88</f>
        <v>0</v>
      </c>
      <c r="Y88" s="272">
        <f t="shared" ref="Y88" si="287">N88-O88</f>
        <v>0</v>
      </c>
      <c r="Z88" s="272">
        <f t="shared" ref="Z88" si="288">O88-P88</f>
        <v>0</v>
      </c>
    </row>
    <row r="89" spans="1:26" x14ac:dyDescent="0.25">
      <c r="G89" s="312"/>
      <c r="L89" s="312"/>
    </row>
  </sheetData>
  <sheetProtection autoFilter="0"/>
  <autoFilter ref="A1:Z88" xr:uid="{00000000-0001-0000-0100-000000000000}"/>
  <pageMargins left="0.7" right="0.7" top="0.75" bottom="0.75" header="0.3" footer="0.3"/>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D603C-C087-4A69-9DE8-AA76560EA36A}">
  <dimension ref="A1:P27"/>
  <sheetViews>
    <sheetView zoomScale="120" zoomScaleNormal="120" workbookViewId="0">
      <pane xSplit="3" ySplit="1" topLeftCell="D2" activePane="bottomRight" state="frozen"/>
      <selection pane="topRight" activeCell="D1" sqref="D1"/>
      <selection pane="bottomLeft" activeCell="A2" sqref="A2"/>
      <selection pane="bottomRight" activeCell="C4" sqref="C4:C6"/>
    </sheetView>
  </sheetViews>
  <sheetFormatPr baseColWidth="10" defaultColWidth="11.5546875" defaultRowHeight="15.6" x14ac:dyDescent="0.3"/>
  <cols>
    <col min="1" max="1" width="5.109375" style="537" hidden="1" customWidth="1"/>
    <col min="2" max="2" width="25.88671875" style="538" customWidth="1"/>
    <col min="3" max="3" width="11.5546875" style="512"/>
    <col min="4" max="4" width="12.88671875" style="539" customWidth="1"/>
    <col min="5" max="5" width="18" style="530" customWidth="1"/>
    <col min="6" max="6" width="14.6640625" style="540" customWidth="1"/>
    <col min="7" max="7" width="15.88671875" style="540" customWidth="1"/>
    <col min="8" max="8" width="16.33203125" style="540" customWidth="1"/>
    <col min="9" max="10" width="14.5546875" style="540" customWidth="1"/>
    <col min="11" max="11" width="17.33203125" style="540" customWidth="1"/>
    <col min="12" max="13" width="11.6640625" style="541" bestFit="1" customWidth="1"/>
    <col min="14" max="14" width="16.5546875" style="540" customWidth="1"/>
    <col min="15" max="15" width="14.109375" style="540" customWidth="1"/>
    <col min="16" max="16" width="11.5546875" style="542"/>
    <col min="17" max="16384" width="11.5546875" style="537"/>
  </cols>
  <sheetData>
    <row r="1" spans="1:16" s="512" customFormat="1" ht="27.6" customHeight="1" x14ac:dyDescent="0.3">
      <c r="A1" s="506" t="s">
        <v>146</v>
      </c>
      <c r="B1" s="507" t="s">
        <v>206</v>
      </c>
      <c r="C1" s="507" t="s">
        <v>144</v>
      </c>
      <c r="D1" s="507" t="s">
        <v>147</v>
      </c>
      <c r="E1" s="508" t="s">
        <v>207</v>
      </c>
      <c r="F1" s="509" t="s">
        <v>208</v>
      </c>
      <c r="G1" s="509" t="s">
        <v>209</v>
      </c>
      <c r="H1" s="509" t="s">
        <v>210</v>
      </c>
      <c r="I1" s="509" t="s">
        <v>211</v>
      </c>
      <c r="J1" s="509" t="s">
        <v>212</v>
      </c>
      <c r="K1" s="509" t="s">
        <v>213</v>
      </c>
      <c r="L1" s="510" t="s">
        <v>214</v>
      </c>
      <c r="M1" s="510" t="s">
        <v>215</v>
      </c>
      <c r="N1" s="509" t="s">
        <v>216</v>
      </c>
      <c r="O1" s="509" t="s">
        <v>157</v>
      </c>
      <c r="P1" s="511"/>
    </row>
    <row r="2" spans="1:16" s="519" customFormat="1" x14ac:dyDescent="0.25">
      <c r="A2" s="513" t="s">
        <v>707</v>
      </c>
      <c r="B2" s="549" t="s">
        <v>421</v>
      </c>
      <c r="C2" s="551" t="s">
        <v>755</v>
      </c>
      <c r="D2" s="514" t="s">
        <v>908</v>
      </c>
      <c r="E2" s="515" t="s">
        <v>218</v>
      </c>
      <c r="F2" s="516">
        <f>SUMIFS(vigencia!$L:$L,vigencia!$F:$F,POAI!$D2)</f>
        <v>1225000000</v>
      </c>
      <c r="G2" s="516">
        <f>SUMIFS(vigencia!$M:$M,vigencia!$F:$F,POAI!$D2)</f>
        <v>1218443828</v>
      </c>
      <c r="H2" s="516">
        <f>G2-I2</f>
        <v>0</v>
      </c>
      <c r="I2" s="516">
        <f>SUMIFS(vigencia!$N:$N,vigencia!$F:$F,POAI!$D2)</f>
        <v>1218443828</v>
      </c>
      <c r="J2" s="516">
        <f>SUMIFS(vigencia!$O:$O,vigencia!$F:$F,POAI!$D2)</f>
        <v>1218443828</v>
      </c>
      <c r="K2" s="516">
        <f>F2-G2</f>
        <v>6556172</v>
      </c>
      <c r="L2" s="517">
        <f>I2/F2</f>
        <v>0.99464802285714282</v>
      </c>
      <c r="M2" s="517">
        <f>J2/F2</f>
        <v>0.99464802285714282</v>
      </c>
      <c r="N2" s="516">
        <f>K2</f>
        <v>6556172</v>
      </c>
      <c r="O2" s="516">
        <f>SUMIFS(vigencia!$P:$P,vigencia!$F:$F,POAI!$D2)</f>
        <v>1218443828</v>
      </c>
      <c r="P2" s="518"/>
    </row>
    <row r="3" spans="1:16" s="519" customFormat="1" x14ac:dyDescent="0.25">
      <c r="A3" s="513"/>
      <c r="B3" s="550"/>
      <c r="C3" s="552"/>
      <c r="D3" s="514" t="s">
        <v>986</v>
      </c>
      <c r="E3" s="515" t="s">
        <v>988</v>
      </c>
      <c r="F3" s="516">
        <f>SUMIFS(vigencia!$L:$L,vigencia!$F:$F,POAI!$D3)</f>
        <v>1500000000</v>
      </c>
      <c r="G3" s="516">
        <f>SUMIFS(vigencia!$M:$M,vigencia!$F:$F,POAI!$D3)</f>
        <v>1500000000</v>
      </c>
      <c r="H3" s="516">
        <f>G3-I3</f>
        <v>0</v>
      </c>
      <c r="I3" s="516">
        <f>SUMIFS(vigencia!$N:$N,vigencia!$F:$F,POAI!$D3)</f>
        <v>1500000000</v>
      </c>
      <c r="J3" s="516">
        <f>SUMIFS(vigencia!$O:$O,vigencia!$F:$F,POAI!$D3)</f>
        <v>1500000000</v>
      </c>
      <c r="K3" s="516">
        <f>F3-G3</f>
        <v>0</v>
      </c>
      <c r="L3" s="517">
        <f>I3/F3</f>
        <v>1</v>
      </c>
      <c r="M3" s="517">
        <f>J3/F3</f>
        <v>1</v>
      </c>
      <c r="N3" s="516">
        <f>K3</f>
        <v>0</v>
      </c>
      <c r="O3" s="516">
        <f>SUMIFS(vigencia!$P:$P,vigencia!$F:$F,POAI!$D3)</f>
        <v>1500000000</v>
      </c>
      <c r="P3" s="518"/>
    </row>
    <row r="4" spans="1:16" s="525" customFormat="1" x14ac:dyDescent="0.25">
      <c r="A4" s="520" t="s">
        <v>708</v>
      </c>
      <c r="B4" s="562" t="s">
        <v>361</v>
      </c>
      <c r="C4" s="564" t="s">
        <v>756</v>
      </c>
      <c r="D4" s="521" t="s">
        <v>909</v>
      </c>
      <c r="E4" s="520" t="s">
        <v>218</v>
      </c>
      <c r="F4" s="522">
        <f>SUMIFS(vigencia!$L:$L,vigencia!$F:$F,POAI!$D4)</f>
        <v>665376928</v>
      </c>
      <c r="G4" s="522">
        <f>SUMIFS(vigencia!$M:$M,vigencia!$F:$F,POAI!$D4)</f>
        <v>478865573</v>
      </c>
      <c r="H4" s="522">
        <f t="shared" ref="H4:H24" si="0">G4-I4</f>
        <v>0</v>
      </c>
      <c r="I4" s="522">
        <f>SUMIFS(vigencia!$N:$N,vigencia!$F:$F,POAI!$D4)</f>
        <v>478865573</v>
      </c>
      <c r="J4" s="522">
        <f>SUMIFS(vigencia!$O:$O,vigencia!$F:$F,POAI!$D4)</f>
        <v>478865573</v>
      </c>
      <c r="K4" s="522">
        <f t="shared" ref="K4:K25" si="1">F4-G4</f>
        <v>186511355</v>
      </c>
      <c r="L4" s="523">
        <f t="shared" ref="L4:L25" si="2">I4/F4</f>
        <v>0.71969067884481863</v>
      </c>
      <c r="M4" s="523">
        <f t="shared" ref="M4:M25" si="3">J4/F4</f>
        <v>0.71969067884481863</v>
      </c>
      <c r="N4" s="553">
        <f>K4+K5+K6</f>
        <v>660424886</v>
      </c>
      <c r="O4" s="522">
        <f>SUMIFS(vigencia!$P:$P,vigencia!$F:$F,POAI!$D4)</f>
        <v>422113287</v>
      </c>
      <c r="P4" s="524"/>
    </row>
    <row r="5" spans="1:16" s="525" customFormat="1" x14ac:dyDescent="0.25">
      <c r="A5" s="520" t="s">
        <v>709</v>
      </c>
      <c r="B5" s="566"/>
      <c r="C5" s="567"/>
      <c r="D5" s="521" t="s">
        <v>910</v>
      </c>
      <c r="E5" s="520" t="s">
        <v>764</v>
      </c>
      <c r="F5" s="522">
        <f>SUMIFS(vigencia!$L:$L,vigencia!$F:$F,POAI!$D5)</f>
        <v>619586317</v>
      </c>
      <c r="G5" s="522">
        <f>SUMIFS(vigencia!$M:$M,vigencia!$F:$F,POAI!$D5)</f>
        <v>394049989</v>
      </c>
      <c r="H5" s="522">
        <f t="shared" si="0"/>
        <v>0</v>
      </c>
      <c r="I5" s="522">
        <f>SUMIFS(vigencia!$N:$N,vigencia!$F:$F,POAI!$D5)</f>
        <v>394049989</v>
      </c>
      <c r="J5" s="522">
        <f>SUMIFS(vigencia!$O:$O,vigencia!$F:$F,POAI!$D5)</f>
        <v>394049989</v>
      </c>
      <c r="K5" s="522">
        <f t="shared" si="1"/>
        <v>225536328</v>
      </c>
      <c r="L5" s="523">
        <f t="shared" si="2"/>
        <v>0.63598884963755586</v>
      </c>
      <c r="M5" s="523">
        <f t="shared" si="3"/>
        <v>0.63598884963755586</v>
      </c>
      <c r="N5" s="555"/>
      <c r="O5" s="522">
        <f>SUMIFS(vigencia!$P:$P,vigencia!$F:$F,POAI!$D5)</f>
        <v>372089989</v>
      </c>
      <c r="P5" s="524"/>
    </row>
    <row r="6" spans="1:16" s="525" customFormat="1" x14ac:dyDescent="0.3">
      <c r="A6" s="526" t="s">
        <v>888</v>
      </c>
      <c r="B6" s="563"/>
      <c r="C6" s="565"/>
      <c r="D6" s="521" t="s">
        <v>911</v>
      </c>
      <c r="E6" s="520" t="s">
        <v>901</v>
      </c>
      <c r="F6" s="522">
        <f>SUMIFS(vigencia!$L:$L,vigencia!$F:$F,POAI!$D6)</f>
        <v>708400480</v>
      </c>
      <c r="G6" s="522">
        <f>SUMIFS(vigencia!$M:$M,vigencia!$F:$F,POAI!$D6)</f>
        <v>460023277</v>
      </c>
      <c r="H6" s="522">
        <f t="shared" si="0"/>
        <v>0</v>
      </c>
      <c r="I6" s="522">
        <f>SUMIFS(vigencia!$N:$N,vigencia!$F:$F,POAI!$D6)</f>
        <v>460023277</v>
      </c>
      <c r="J6" s="522">
        <f>SUMIFS(vigencia!$O:$O,vigencia!$F:$F,POAI!$D6)</f>
        <v>460023277</v>
      </c>
      <c r="K6" s="522">
        <f t="shared" si="1"/>
        <v>248377203</v>
      </c>
      <c r="L6" s="523">
        <f t="shared" si="2"/>
        <v>0.64938306789402511</v>
      </c>
      <c r="M6" s="523">
        <f t="shared" si="3"/>
        <v>0.64938306789402511</v>
      </c>
      <c r="N6" s="554"/>
      <c r="O6" s="522">
        <f>SUMIFS(vigencia!$P:$P,vigencia!$F:$F,POAI!$D6)</f>
        <v>460023277</v>
      </c>
      <c r="P6" s="524"/>
    </row>
    <row r="7" spans="1:16" s="528" customFormat="1" x14ac:dyDescent="0.25">
      <c r="A7" s="513" t="s">
        <v>710</v>
      </c>
      <c r="B7" s="549" t="s">
        <v>384</v>
      </c>
      <c r="C7" s="551" t="s">
        <v>757</v>
      </c>
      <c r="D7" s="514" t="s">
        <v>904</v>
      </c>
      <c r="E7" s="515" t="s">
        <v>218</v>
      </c>
      <c r="F7" s="516">
        <f>SUMIFS(vigencia!$L:$L,vigencia!$F:$F,POAI!$D7)</f>
        <v>630937618</v>
      </c>
      <c r="G7" s="516">
        <f>SUMIFS(vigencia!$M:$M,vigencia!$F:$F,POAI!$D7)</f>
        <v>595313798</v>
      </c>
      <c r="H7" s="516">
        <f t="shared" si="0"/>
        <v>0</v>
      </c>
      <c r="I7" s="516">
        <f>SUMIFS(vigencia!$N:$N,vigencia!$F:$F,POAI!$D7)</f>
        <v>595313798</v>
      </c>
      <c r="J7" s="516">
        <f>SUMIFS(vigencia!$O:$O,vigencia!$F:$F,POAI!$D7)</f>
        <v>595313798</v>
      </c>
      <c r="K7" s="516">
        <f t="shared" si="1"/>
        <v>35623820</v>
      </c>
      <c r="L7" s="517">
        <f t="shared" si="2"/>
        <v>0.94353828495291903</v>
      </c>
      <c r="M7" s="517">
        <f t="shared" si="3"/>
        <v>0.94353828495291903</v>
      </c>
      <c r="N7" s="558">
        <f>K7+K8+K9+K10+K11+K12</f>
        <v>640429728</v>
      </c>
      <c r="O7" s="516">
        <f>SUMIFS(vigencia!$P:$P,vigencia!$F:$F,POAI!$D7)</f>
        <v>595313798</v>
      </c>
      <c r="P7" s="527"/>
    </row>
    <row r="8" spans="1:16" s="528" customFormat="1" x14ac:dyDescent="0.25">
      <c r="A8" s="513" t="s">
        <v>711</v>
      </c>
      <c r="B8" s="568"/>
      <c r="C8" s="569"/>
      <c r="D8" s="514" t="s">
        <v>905</v>
      </c>
      <c r="E8" s="513" t="s">
        <v>764</v>
      </c>
      <c r="F8" s="516">
        <f>SUMIFS(vigencia!$L:$L,vigencia!$F:$F,POAI!$D8)</f>
        <v>1365538370</v>
      </c>
      <c r="G8" s="516">
        <f>SUMIFS(vigencia!$M:$M,vigencia!$F:$F,POAI!$D8)</f>
        <v>1048095546</v>
      </c>
      <c r="H8" s="516">
        <f t="shared" si="0"/>
        <v>0</v>
      </c>
      <c r="I8" s="516">
        <f>SUMIFS(vigencia!$N:$N,vigencia!$F:$F,POAI!$D8)</f>
        <v>1048095546</v>
      </c>
      <c r="J8" s="516">
        <f>SUMIFS(vigencia!$O:$O,vigencia!$F:$F,POAI!$D8)</f>
        <v>1048095546</v>
      </c>
      <c r="K8" s="516">
        <f t="shared" si="1"/>
        <v>317442824</v>
      </c>
      <c r="L8" s="517">
        <f t="shared" si="2"/>
        <v>0.76753284201014427</v>
      </c>
      <c r="M8" s="517">
        <f t="shared" si="3"/>
        <v>0.76753284201014427</v>
      </c>
      <c r="N8" s="559"/>
      <c r="O8" s="516">
        <f>SUMIFS(vigencia!$P:$P,vigencia!$F:$F,POAI!$D8)</f>
        <v>1048095546</v>
      </c>
      <c r="P8" s="527"/>
    </row>
    <row r="9" spans="1:16" s="528" customFormat="1" x14ac:dyDescent="0.25">
      <c r="A9" s="513"/>
      <c r="B9" s="568"/>
      <c r="C9" s="569"/>
      <c r="D9" s="514" t="s">
        <v>906</v>
      </c>
      <c r="E9" s="513" t="s">
        <v>924</v>
      </c>
      <c r="F9" s="516">
        <f>SUMIFS(vigencia!$L:$L,vigencia!$F:$F,POAI!$D9)</f>
        <v>1321777205</v>
      </c>
      <c r="G9" s="516">
        <f>SUMIFS(vigencia!$M:$M,vigencia!$F:$F,POAI!$D9)</f>
        <v>1066490545</v>
      </c>
      <c r="H9" s="516">
        <f t="shared" si="0"/>
        <v>0</v>
      </c>
      <c r="I9" s="516">
        <f>SUMIFS(vigencia!$N:$N,vigencia!$F:$F,POAI!$D9)</f>
        <v>1066490545</v>
      </c>
      <c r="J9" s="516">
        <f>SUMIFS(vigencia!$O:$O,vigencia!$F:$F,POAI!$D9)</f>
        <v>1066490545</v>
      </c>
      <c r="K9" s="516">
        <f t="shared" si="1"/>
        <v>255286660</v>
      </c>
      <c r="L9" s="517">
        <f t="shared" si="2"/>
        <v>0.80686105114061191</v>
      </c>
      <c r="M9" s="517">
        <f t="shared" si="3"/>
        <v>0.80686105114061191</v>
      </c>
      <c r="N9" s="559"/>
      <c r="O9" s="516">
        <f>SUMIFS(vigencia!$P:$P,vigencia!$F:$F,POAI!$D9)</f>
        <v>1060490545</v>
      </c>
      <c r="P9" s="527"/>
    </row>
    <row r="10" spans="1:16" s="528" customFormat="1" x14ac:dyDescent="0.25">
      <c r="A10" s="513"/>
      <c r="B10" s="568"/>
      <c r="C10" s="569"/>
      <c r="D10" s="514" t="s">
        <v>907</v>
      </c>
      <c r="E10" s="513" t="s">
        <v>901</v>
      </c>
      <c r="F10" s="516">
        <f>SUMIFS(vigencia!$L:$L,vigencia!$F:$F,POAI!$D10)</f>
        <v>323865474</v>
      </c>
      <c r="G10" s="516">
        <f>SUMIFS(vigencia!$M:$M,vigencia!$F:$F,POAI!$D10)</f>
        <v>296499050</v>
      </c>
      <c r="H10" s="516">
        <f t="shared" si="0"/>
        <v>0</v>
      </c>
      <c r="I10" s="516">
        <f>SUMIFS(vigencia!$N:$N,vigencia!$F:$F,POAI!$D10)</f>
        <v>296499050</v>
      </c>
      <c r="J10" s="516">
        <f>SUMIFS(vigencia!$O:$O,vigencia!$F:$F,POAI!$D10)</f>
        <v>296499050</v>
      </c>
      <c r="K10" s="516">
        <f t="shared" ref="K10" si="4">F10-G10</f>
        <v>27366424</v>
      </c>
      <c r="L10" s="517">
        <f t="shared" ref="L10" si="5">I10/F10</f>
        <v>0.91550064394946895</v>
      </c>
      <c r="M10" s="517">
        <f t="shared" ref="M10" si="6">J10/F10</f>
        <v>0.91550064394946895</v>
      </c>
      <c r="N10" s="559"/>
      <c r="O10" s="516">
        <f>SUMIFS(vigencia!$P:$P,vigencia!$F:$F,POAI!$D10)</f>
        <v>296499050</v>
      </c>
      <c r="P10" s="527"/>
    </row>
    <row r="11" spans="1:16" s="528" customFormat="1" x14ac:dyDescent="0.3">
      <c r="A11" s="529" t="s">
        <v>940</v>
      </c>
      <c r="B11" s="568"/>
      <c r="C11" s="569"/>
      <c r="D11" s="514" t="s">
        <v>942</v>
      </c>
      <c r="E11" s="530" t="s">
        <v>944</v>
      </c>
      <c r="F11" s="516">
        <f>SUMIFS(vigencia!$L:$L,vigencia!$F:$F,POAI!$D11)</f>
        <v>25000000</v>
      </c>
      <c r="G11" s="516">
        <f>SUMIFS(vigencia!$M:$M,vigencia!$F:$F,POAI!$D11)</f>
        <v>24750000</v>
      </c>
      <c r="H11" s="516">
        <f t="shared" si="0"/>
        <v>0</v>
      </c>
      <c r="I11" s="516">
        <f>SUMIFS(vigencia!$N:$N,vigencia!$F:$F,POAI!$D11)</f>
        <v>24750000</v>
      </c>
      <c r="J11" s="516">
        <f>SUMIFS(vigencia!$O:$O,vigencia!$F:$F,POAI!$D11)</f>
        <v>24750000</v>
      </c>
      <c r="K11" s="516">
        <f t="shared" ref="K11:K12" si="7">F11-G11</f>
        <v>250000</v>
      </c>
      <c r="L11" s="517">
        <f t="shared" ref="L11:L12" si="8">I11/F11</f>
        <v>0.99</v>
      </c>
      <c r="M11" s="517">
        <f t="shared" ref="M11:M12" si="9">J11/F11</f>
        <v>0.99</v>
      </c>
      <c r="N11" s="559"/>
      <c r="O11" s="516">
        <f>SUMIFS(vigencia!$P:$P,vigencia!$F:$F,POAI!$D11)</f>
        <v>24750000</v>
      </c>
      <c r="P11" s="527"/>
    </row>
    <row r="12" spans="1:16" s="528" customFormat="1" x14ac:dyDescent="0.3">
      <c r="A12" s="529" t="s">
        <v>941</v>
      </c>
      <c r="B12" s="550"/>
      <c r="C12" s="552"/>
      <c r="D12" s="514" t="s">
        <v>943</v>
      </c>
      <c r="E12" s="530" t="s">
        <v>944</v>
      </c>
      <c r="F12" s="516">
        <f>SUMIFS(vigencia!$L:$L,vigencia!$F:$F,POAI!$D12)</f>
        <v>50000000</v>
      </c>
      <c r="G12" s="516">
        <f>SUMIFS(vigencia!$M:$M,vigencia!$F:$F,POAI!$D12)</f>
        <v>45540000</v>
      </c>
      <c r="H12" s="516">
        <f t="shared" si="0"/>
        <v>0</v>
      </c>
      <c r="I12" s="516">
        <f>SUMIFS(vigencia!$N:$N,vigencia!$F:$F,POAI!$D12)</f>
        <v>45540000</v>
      </c>
      <c r="J12" s="516">
        <f>SUMIFS(vigencia!$O:$O,vigencia!$F:$F,POAI!$D12)</f>
        <v>45540000</v>
      </c>
      <c r="K12" s="516">
        <f t="shared" si="7"/>
        <v>4460000</v>
      </c>
      <c r="L12" s="517">
        <f t="shared" si="8"/>
        <v>0.91080000000000005</v>
      </c>
      <c r="M12" s="517">
        <f t="shared" si="9"/>
        <v>0.91080000000000005</v>
      </c>
      <c r="N12" s="560"/>
      <c r="O12" s="516">
        <f>SUMIFS(vigencia!$P:$P,vigencia!$F:$F,POAI!$D12)</f>
        <v>45540000</v>
      </c>
      <c r="P12" s="527"/>
    </row>
    <row r="13" spans="1:16" s="525" customFormat="1" x14ac:dyDescent="0.25">
      <c r="A13" s="520" t="s">
        <v>717</v>
      </c>
      <c r="B13" s="562" t="s">
        <v>434</v>
      </c>
      <c r="C13" s="564" t="s">
        <v>758</v>
      </c>
      <c r="D13" s="521" t="s">
        <v>902</v>
      </c>
      <c r="E13" s="520" t="s">
        <v>218</v>
      </c>
      <c r="F13" s="522">
        <f>SUMIFS(vigencia!$L:$L,vigencia!$F:$F,POAI!$D13)</f>
        <v>900000000</v>
      </c>
      <c r="G13" s="522">
        <f>SUMIFS(vigencia!$M:$M,vigencia!$F:$F,POAI!$D13)</f>
        <v>885592848</v>
      </c>
      <c r="H13" s="522">
        <f t="shared" si="0"/>
        <v>0</v>
      </c>
      <c r="I13" s="522">
        <f>SUMIFS(vigencia!$N:$N,vigencia!$F:$F,POAI!$D13)</f>
        <v>885592848</v>
      </c>
      <c r="J13" s="522">
        <f>SUMIFS(vigencia!$O:$O,vigencia!$F:$F,POAI!$D13)</f>
        <v>885592848</v>
      </c>
      <c r="K13" s="522">
        <f t="shared" si="1"/>
        <v>14407152</v>
      </c>
      <c r="L13" s="523">
        <f t="shared" si="2"/>
        <v>0.98399205333333328</v>
      </c>
      <c r="M13" s="523">
        <f t="shared" si="3"/>
        <v>0.98399205333333328</v>
      </c>
      <c r="N13" s="553">
        <f>K13+K14</f>
        <v>1629407152</v>
      </c>
      <c r="O13" s="522">
        <f>SUMIFS(vigencia!$P:$P,vigencia!$F:$F,POAI!$D13)</f>
        <v>885592848</v>
      </c>
      <c r="P13" s="524"/>
    </row>
    <row r="14" spans="1:16" s="525" customFormat="1" x14ac:dyDescent="0.25">
      <c r="A14" s="520" t="s">
        <v>716</v>
      </c>
      <c r="B14" s="563"/>
      <c r="C14" s="565"/>
      <c r="D14" s="521" t="s">
        <v>903</v>
      </c>
      <c r="E14" s="520" t="s">
        <v>901</v>
      </c>
      <c r="F14" s="522">
        <f>SUMIFS(vigencia!$L:$L,vigencia!$F:$F,POAI!$D14)</f>
        <v>2410000000</v>
      </c>
      <c r="G14" s="522">
        <f>SUMIFS(vigencia!$M:$M,vigencia!$F:$F,POAI!$D14)</f>
        <v>795000000</v>
      </c>
      <c r="H14" s="522">
        <f t="shared" si="0"/>
        <v>0</v>
      </c>
      <c r="I14" s="522">
        <f>SUMIFS(vigencia!$N:$N,vigencia!$F:$F,POAI!$D14)</f>
        <v>795000000</v>
      </c>
      <c r="J14" s="522">
        <f>SUMIFS(vigencia!$O:$O,vigencia!$F:$F,POAI!$D14)</f>
        <v>795000000</v>
      </c>
      <c r="K14" s="522">
        <f t="shared" si="1"/>
        <v>1615000000</v>
      </c>
      <c r="L14" s="523">
        <f t="shared" si="2"/>
        <v>0.32987551867219916</v>
      </c>
      <c r="M14" s="523">
        <f t="shared" si="3"/>
        <v>0.32987551867219916</v>
      </c>
      <c r="N14" s="554"/>
      <c r="O14" s="522">
        <f>SUMIFS(vigencia!$P:$P,vigencia!$F:$F,POAI!$D14)</f>
        <v>795000000</v>
      </c>
      <c r="P14" s="524"/>
    </row>
    <row r="15" spans="1:16" s="519" customFormat="1" ht="62.4" x14ac:dyDescent="0.25">
      <c r="A15" s="513" t="s">
        <v>702</v>
      </c>
      <c r="B15" s="531" t="s">
        <v>471</v>
      </c>
      <c r="C15" s="551" t="s">
        <v>759</v>
      </c>
      <c r="D15" s="532" t="s">
        <v>912</v>
      </c>
      <c r="E15" s="515" t="s">
        <v>218</v>
      </c>
      <c r="F15" s="516">
        <f>SUMIFS(vigencia!$L:$L,vigencia!$F:$F,POAI!$D15)</f>
        <v>458000000</v>
      </c>
      <c r="G15" s="516">
        <f>SUMIFS(vigencia!$M:$M,vigencia!$F:$F,POAI!$D15)</f>
        <v>107618275</v>
      </c>
      <c r="H15" s="516">
        <f t="shared" si="0"/>
        <v>0</v>
      </c>
      <c r="I15" s="516">
        <f>SUMIFS(vigencia!$N:$N,vigencia!$F:$F,POAI!$D15)</f>
        <v>107618275</v>
      </c>
      <c r="J15" s="516">
        <f>SUMIFS(vigencia!$O:$O,vigencia!$F:$F,POAI!$D15)</f>
        <v>107618275</v>
      </c>
      <c r="K15" s="516">
        <f t="shared" si="1"/>
        <v>350381725</v>
      </c>
      <c r="L15" s="517">
        <f t="shared" si="2"/>
        <v>0.23497439956331878</v>
      </c>
      <c r="M15" s="517">
        <f t="shared" si="3"/>
        <v>0.23497439956331878</v>
      </c>
      <c r="N15" s="556">
        <f>K15+K16</f>
        <v>733888157</v>
      </c>
      <c r="O15" s="516">
        <f>SUMIFS(vigencia!$P:$P,vigencia!$F:$F,POAI!$D15)</f>
        <v>107618275</v>
      </c>
      <c r="P15" s="518"/>
    </row>
    <row r="16" spans="1:16" s="519" customFormat="1" x14ac:dyDescent="0.25">
      <c r="A16" s="513"/>
      <c r="B16" s="531"/>
      <c r="C16" s="552"/>
      <c r="D16" s="532" t="s">
        <v>913</v>
      </c>
      <c r="E16" s="513" t="s">
        <v>901</v>
      </c>
      <c r="F16" s="516">
        <f>SUMIFS(vigencia!$L:$L,vigencia!$F:$F,POAI!$D16)</f>
        <v>908748154</v>
      </c>
      <c r="G16" s="516">
        <f>SUMIFS(vigencia!$M:$M,vigencia!$F:$F,POAI!$D16)</f>
        <v>525241722</v>
      </c>
      <c r="H16" s="516">
        <f t="shared" si="0"/>
        <v>0</v>
      </c>
      <c r="I16" s="516">
        <f>SUMIFS(vigencia!$N:$N,vigencia!$F:$F,POAI!$D16)</f>
        <v>525241722</v>
      </c>
      <c r="J16" s="516">
        <f>SUMIFS(vigencia!$O:$O,vigencia!$F:$F,POAI!$D16)</f>
        <v>525241722</v>
      </c>
      <c r="K16" s="516">
        <f t="shared" ref="K16" si="10">F16-G16</f>
        <v>383506432</v>
      </c>
      <c r="L16" s="517">
        <f t="shared" ref="L16" si="11">I16/F16</f>
        <v>0.57798381178334701</v>
      </c>
      <c r="M16" s="517">
        <f t="shared" ref="M16" si="12">J16/F16</f>
        <v>0.57798381178334701</v>
      </c>
      <c r="N16" s="557"/>
      <c r="O16" s="516">
        <f>SUMIFS(vigencia!$P:$P,vigencia!$F:$F,POAI!$D16)</f>
        <v>124841722</v>
      </c>
      <c r="P16" s="518"/>
    </row>
    <row r="17" spans="1:16" s="525" customFormat="1" x14ac:dyDescent="0.25">
      <c r="A17" s="520" t="s">
        <v>704</v>
      </c>
      <c r="B17" s="561" t="s">
        <v>479</v>
      </c>
      <c r="C17" s="564" t="s">
        <v>760</v>
      </c>
      <c r="D17" s="521" t="s">
        <v>914</v>
      </c>
      <c r="E17" s="520" t="s">
        <v>218</v>
      </c>
      <c r="F17" s="522">
        <f>SUMIFS(vigencia!$L:$L,vigencia!$F:$F,POAI!$D17)</f>
        <v>521603098</v>
      </c>
      <c r="G17" s="522">
        <f>SUMIFS(vigencia!$M:$M,vigencia!$F:$F,POAI!$D17)</f>
        <v>518511745</v>
      </c>
      <c r="H17" s="522">
        <f t="shared" si="0"/>
        <v>0</v>
      </c>
      <c r="I17" s="522">
        <f>SUMIFS(vigencia!$N:$N,vigencia!$F:$F,POAI!$D17)</f>
        <v>518511745</v>
      </c>
      <c r="J17" s="522">
        <f>SUMIFS(vigencia!$O:$O,vigencia!$F:$F,POAI!$D17)</f>
        <v>518511745</v>
      </c>
      <c r="K17" s="522">
        <f t="shared" si="1"/>
        <v>3091353</v>
      </c>
      <c r="L17" s="523">
        <f t="shared" si="2"/>
        <v>0.99407336150445946</v>
      </c>
      <c r="M17" s="523">
        <f t="shared" si="3"/>
        <v>0.99407336150445946</v>
      </c>
      <c r="N17" s="553">
        <f>K17+K18+K19</f>
        <v>33555571</v>
      </c>
      <c r="O17" s="522">
        <f>SUMIFS(vigencia!$P:$P,vigencia!$F:$F,POAI!$D17)</f>
        <v>450423890</v>
      </c>
      <c r="P17" s="524"/>
    </row>
    <row r="18" spans="1:16" s="525" customFormat="1" x14ac:dyDescent="0.25">
      <c r="A18" s="520" t="s">
        <v>705</v>
      </c>
      <c r="B18" s="561"/>
      <c r="C18" s="567"/>
      <c r="D18" s="521" t="s">
        <v>915</v>
      </c>
      <c r="E18" s="520" t="s">
        <v>765</v>
      </c>
      <c r="F18" s="522">
        <f>SUMIFS(vigencia!$L:$L,vigencia!$F:$F,POAI!$D18)</f>
        <v>7240984</v>
      </c>
      <c r="G18" s="522">
        <f>SUMIFS(vigencia!$M:$M,vigencia!$F:$F,POAI!$D18)</f>
        <v>1741345</v>
      </c>
      <c r="H18" s="522">
        <f t="shared" si="0"/>
        <v>0</v>
      </c>
      <c r="I18" s="522">
        <f>SUMIFS(vigencia!$N:$N,vigencia!$F:$F,POAI!$D18)</f>
        <v>1741345</v>
      </c>
      <c r="J18" s="522">
        <f>SUMIFS(vigencia!$O:$O,vigencia!$F:$F,POAI!$D18)</f>
        <v>1741345</v>
      </c>
      <c r="K18" s="522">
        <f t="shared" si="1"/>
        <v>5499639</v>
      </c>
      <c r="L18" s="523">
        <f t="shared" si="2"/>
        <v>0.24048458054872102</v>
      </c>
      <c r="M18" s="523">
        <f t="shared" si="3"/>
        <v>0.24048458054872102</v>
      </c>
      <c r="N18" s="555"/>
      <c r="O18" s="522">
        <f>SUMIFS(vigencia!$P:$P,vigencia!$F:$F,POAI!$D18)</f>
        <v>0</v>
      </c>
      <c r="P18" s="524"/>
    </row>
    <row r="19" spans="1:16" s="525" customFormat="1" x14ac:dyDescent="0.25">
      <c r="A19" s="520"/>
      <c r="B19" s="533"/>
      <c r="C19" s="565"/>
      <c r="D19" s="521" t="s">
        <v>916</v>
      </c>
      <c r="E19" s="520" t="s">
        <v>901</v>
      </c>
      <c r="F19" s="522">
        <f>SUMIFS(vigencia!$L:$L,vigencia!$F:$F,POAI!$D19)</f>
        <v>124822889</v>
      </c>
      <c r="G19" s="522">
        <f>SUMIFS(vigencia!$M:$M,vigencia!$F:$F,POAI!$D19)</f>
        <v>99858310</v>
      </c>
      <c r="H19" s="522">
        <f t="shared" si="0"/>
        <v>0</v>
      </c>
      <c r="I19" s="522">
        <f>SUMIFS(vigencia!$N:$N,vigencia!$F:$F,POAI!$D19)</f>
        <v>99858310</v>
      </c>
      <c r="J19" s="522">
        <f>SUMIFS(vigencia!$O:$O,vigencia!$F:$F,POAI!$D19)</f>
        <v>99858310</v>
      </c>
      <c r="K19" s="522">
        <f t="shared" ref="K19" si="13">F19-G19</f>
        <v>24964579</v>
      </c>
      <c r="L19" s="523">
        <f t="shared" ref="L19" si="14">I19/F19</f>
        <v>0.79999999038637859</v>
      </c>
      <c r="M19" s="523">
        <f t="shared" ref="M19" si="15">J19/F19</f>
        <v>0.79999999038637859</v>
      </c>
      <c r="N19" s="554"/>
      <c r="O19" s="522">
        <f>SUMIFS(vigencia!$P:$P,vigencia!$F:$F,POAI!$D19)</f>
        <v>99858310</v>
      </c>
      <c r="P19" s="524"/>
    </row>
    <row r="20" spans="1:16" s="519" customFormat="1" x14ac:dyDescent="0.25">
      <c r="A20" s="513" t="s">
        <v>714</v>
      </c>
      <c r="B20" s="571" t="s">
        <v>499</v>
      </c>
      <c r="C20" s="572" t="s">
        <v>761</v>
      </c>
      <c r="D20" s="532" t="s">
        <v>919</v>
      </c>
      <c r="E20" s="515" t="s">
        <v>218</v>
      </c>
      <c r="F20" s="516">
        <f>SUMIFS(vigencia!$L:$L,vigencia!$F:$F,POAI!$D20)</f>
        <v>983875471</v>
      </c>
      <c r="G20" s="516">
        <f>SUMIFS(vigencia!$M:$M,vigencia!$F:$F,POAI!$D20)</f>
        <v>591991556</v>
      </c>
      <c r="H20" s="516">
        <f t="shared" si="0"/>
        <v>0</v>
      </c>
      <c r="I20" s="516">
        <f>SUMIFS(vigencia!$N:$N,vigencia!$F:$F,POAI!$D20)</f>
        <v>591991556</v>
      </c>
      <c r="J20" s="516">
        <f>SUMIFS(vigencia!$O:$O,vigencia!$F:$F,POAI!$D20)</f>
        <v>591991556</v>
      </c>
      <c r="K20" s="516">
        <f t="shared" si="1"/>
        <v>391883915</v>
      </c>
      <c r="L20" s="517">
        <f t="shared" si="2"/>
        <v>0.60169358160571518</v>
      </c>
      <c r="M20" s="517">
        <f t="shared" si="3"/>
        <v>0.60169358160571518</v>
      </c>
      <c r="N20" s="574">
        <f>K20+K21</f>
        <v>391883915</v>
      </c>
      <c r="O20" s="516">
        <f>SUMIFS(vigencia!$P:$P,vigencia!$F:$F,POAI!$D20)</f>
        <v>336362720</v>
      </c>
      <c r="P20" s="518"/>
    </row>
    <row r="21" spans="1:16" s="519" customFormat="1" x14ac:dyDescent="0.25">
      <c r="A21" s="513" t="s">
        <v>715</v>
      </c>
      <c r="B21" s="571"/>
      <c r="C21" s="572"/>
      <c r="D21" s="514" t="s">
        <v>920</v>
      </c>
      <c r="E21" s="515" t="s">
        <v>765</v>
      </c>
      <c r="F21" s="516">
        <f>SUMIFS(vigencia!$L:$L,vigencia!$F:$F,POAI!$D21)</f>
        <v>36050000</v>
      </c>
      <c r="G21" s="516">
        <f>SUMIFS(vigencia!$M:$M,vigencia!$F:$F,POAI!$D21)</f>
        <v>36050000</v>
      </c>
      <c r="H21" s="516">
        <f t="shared" si="0"/>
        <v>0</v>
      </c>
      <c r="I21" s="516">
        <f>SUMIFS(vigencia!$N:$N,vigencia!$F:$F,POAI!$D21)</f>
        <v>36050000</v>
      </c>
      <c r="J21" s="516">
        <f>SUMIFS(vigencia!$O:$O,vigencia!$F:$F,POAI!$D21)</f>
        <v>36050000</v>
      </c>
      <c r="K21" s="516">
        <f t="shared" si="1"/>
        <v>0</v>
      </c>
      <c r="L21" s="517">
        <f t="shared" si="2"/>
        <v>1</v>
      </c>
      <c r="M21" s="517">
        <f t="shared" si="3"/>
        <v>1</v>
      </c>
      <c r="N21" s="574"/>
      <c r="O21" s="516">
        <f>SUMIFS(vigencia!$P:$P,vigencia!$F:$F,POAI!$D21)</f>
        <v>28840000</v>
      </c>
      <c r="P21" s="518"/>
    </row>
    <row r="22" spans="1:16" s="525" customFormat="1" x14ac:dyDescent="0.25">
      <c r="A22" s="520" t="s">
        <v>703</v>
      </c>
      <c r="B22" s="562" t="s">
        <v>486</v>
      </c>
      <c r="C22" s="573" t="s">
        <v>762</v>
      </c>
      <c r="D22" s="521" t="s">
        <v>917</v>
      </c>
      <c r="E22" s="520" t="s">
        <v>218</v>
      </c>
      <c r="F22" s="522">
        <f>SUMIFS(vigencia!$L:$L,vigencia!$F:$F,POAI!$D22)</f>
        <v>360000000</v>
      </c>
      <c r="G22" s="522">
        <f>SUMIFS(vigencia!$M:$M,vigencia!$F:$F,POAI!$D22)</f>
        <v>289605397</v>
      </c>
      <c r="H22" s="522">
        <f t="shared" si="0"/>
        <v>0</v>
      </c>
      <c r="I22" s="522">
        <f>SUMIFS(vigencia!$N:$N,vigencia!$F:$F,POAI!$D22)</f>
        <v>289605397</v>
      </c>
      <c r="J22" s="522">
        <f>SUMIFS(vigencia!$O:$O,vigencia!$F:$F,POAI!$D22)</f>
        <v>289605397</v>
      </c>
      <c r="K22" s="522">
        <f t="shared" si="1"/>
        <v>70394603</v>
      </c>
      <c r="L22" s="523">
        <f t="shared" si="2"/>
        <v>0.80445943611111115</v>
      </c>
      <c r="M22" s="523">
        <f t="shared" si="3"/>
        <v>0.80445943611111115</v>
      </c>
      <c r="N22" s="553">
        <f>K22+K23</f>
        <v>145073663</v>
      </c>
      <c r="O22" s="522">
        <f>SUMIFS(vigencia!$P:$P,vigencia!$F:$F,POAI!$D22)</f>
        <v>97320181</v>
      </c>
      <c r="P22" s="524"/>
    </row>
    <row r="23" spans="1:16" s="525" customFormat="1" x14ac:dyDescent="0.25">
      <c r="A23" s="520" t="s">
        <v>706</v>
      </c>
      <c r="B23" s="563"/>
      <c r="C23" s="573"/>
      <c r="D23" s="521" t="s">
        <v>918</v>
      </c>
      <c r="E23" s="520" t="s">
        <v>218</v>
      </c>
      <c r="F23" s="522">
        <f>SUMIFS(vigencia!$L:$L,vigencia!$F:$F,POAI!$D23)</f>
        <v>367464683</v>
      </c>
      <c r="G23" s="522">
        <f>SUMIFS(vigencia!$M:$M,vigencia!$F:$F,POAI!$D23)</f>
        <v>292785623</v>
      </c>
      <c r="H23" s="522">
        <f t="shared" si="0"/>
        <v>0</v>
      </c>
      <c r="I23" s="522">
        <f>SUMIFS(vigencia!$N:$N,vigencia!$F:$F,POAI!$D23)</f>
        <v>292785623</v>
      </c>
      <c r="J23" s="522">
        <f>SUMIFS(vigencia!$O:$O,vigencia!$F:$F,POAI!$D23)</f>
        <v>292785623</v>
      </c>
      <c r="K23" s="522">
        <f t="shared" si="1"/>
        <v>74679060</v>
      </c>
      <c r="L23" s="523">
        <f t="shared" si="2"/>
        <v>0.79677214313409273</v>
      </c>
      <c r="M23" s="523">
        <f t="shared" si="3"/>
        <v>0.79677214313409273</v>
      </c>
      <c r="N23" s="554"/>
      <c r="O23" s="522">
        <f>SUMIFS(vigencia!$P:$P,vigencia!$F:$F,POAI!$D23)</f>
        <v>212386690</v>
      </c>
      <c r="P23" s="524"/>
    </row>
    <row r="24" spans="1:16" s="519" customFormat="1" x14ac:dyDescent="0.25">
      <c r="A24" s="513" t="s">
        <v>713</v>
      </c>
      <c r="B24" s="571" t="s">
        <v>448</v>
      </c>
      <c r="C24" s="551" t="s">
        <v>763</v>
      </c>
      <c r="D24" s="532" t="s">
        <v>922</v>
      </c>
      <c r="E24" s="515" t="s">
        <v>218</v>
      </c>
      <c r="F24" s="516">
        <f>SUMIFS(vigencia!$L:$L,vigencia!$F:$F,POAI!$D24)</f>
        <v>711062382</v>
      </c>
      <c r="G24" s="516">
        <f>SUMIFS(vigencia!$M:$M,vigencia!$F:$F,POAI!$D24)</f>
        <v>663510780</v>
      </c>
      <c r="H24" s="516">
        <f t="shared" si="0"/>
        <v>0</v>
      </c>
      <c r="I24" s="516">
        <f>SUMIFS(vigencia!$N:$N,vigencia!$F:$F,POAI!$D24)</f>
        <v>663510780</v>
      </c>
      <c r="J24" s="516">
        <f>SUMIFS(vigencia!$O:$O,vigencia!$F:$F,POAI!$D24)</f>
        <v>663510780</v>
      </c>
      <c r="K24" s="516">
        <f t="shared" si="1"/>
        <v>47551602</v>
      </c>
      <c r="L24" s="517">
        <f t="shared" si="2"/>
        <v>0.93312597712418432</v>
      </c>
      <c r="M24" s="517">
        <f t="shared" si="3"/>
        <v>0.93312597712418432</v>
      </c>
      <c r="N24" s="556">
        <f>K24+K25+K26</f>
        <v>589597594</v>
      </c>
      <c r="O24" s="516">
        <f>SUMIFS(vigencia!$P:$P,vigencia!$F:$F,POAI!$D24)</f>
        <v>383937561</v>
      </c>
      <c r="P24" s="518"/>
    </row>
    <row r="25" spans="1:16" s="519" customFormat="1" x14ac:dyDescent="0.25">
      <c r="A25" s="513" t="s">
        <v>712</v>
      </c>
      <c r="B25" s="571"/>
      <c r="C25" s="569"/>
      <c r="D25" s="514" t="s">
        <v>921</v>
      </c>
      <c r="E25" s="515" t="s">
        <v>766</v>
      </c>
      <c r="F25" s="516">
        <f>SUMIFS(vigencia!$L:$L,vigencia!$F:$F,POAI!$D25)</f>
        <v>1226449930</v>
      </c>
      <c r="G25" s="516">
        <f>SUMIFS(vigencia!$M:$M,vigencia!$F:$F,POAI!$D25)</f>
        <v>795597825</v>
      </c>
      <c r="H25" s="516">
        <f>G25-I25</f>
        <v>0</v>
      </c>
      <c r="I25" s="516">
        <f>SUMIFS(vigencia!$N:$N,vigencia!$F:$F,POAI!$D25)</f>
        <v>795597825</v>
      </c>
      <c r="J25" s="516">
        <f>SUMIFS(vigencia!$O:$O,vigencia!$F:$F,POAI!$D25)</f>
        <v>795597825</v>
      </c>
      <c r="K25" s="516">
        <f t="shared" si="1"/>
        <v>430852105</v>
      </c>
      <c r="L25" s="517">
        <f t="shared" si="2"/>
        <v>0.64869980056992627</v>
      </c>
      <c r="M25" s="517">
        <f t="shared" si="3"/>
        <v>0.64869980056992627</v>
      </c>
      <c r="N25" s="570"/>
      <c r="O25" s="516">
        <f>SUMIFS(vigencia!$P:$P,vigencia!$F:$F,POAI!$D25)</f>
        <v>600182400</v>
      </c>
      <c r="P25" s="518"/>
    </row>
    <row r="26" spans="1:16" s="519" customFormat="1" x14ac:dyDescent="0.25">
      <c r="A26" s="513"/>
      <c r="B26" s="531"/>
      <c r="C26" s="552"/>
      <c r="D26" s="514" t="s">
        <v>923</v>
      </c>
      <c r="E26" s="513" t="s">
        <v>901</v>
      </c>
      <c r="F26" s="516">
        <f>SUMIFS(vigencia!$L:$L,vigencia!$F:$F,POAI!$D26)</f>
        <v>181784155</v>
      </c>
      <c r="G26" s="516">
        <f>SUMIFS(vigencia!$M:$M,vigencia!$F:$F,POAI!$D26)</f>
        <v>70590268</v>
      </c>
      <c r="H26" s="516">
        <f>G26-I26</f>
        <v>0</v>
      </c>
      <c r="I26" s="516">
        <f>SUMIFS(vigencia!$N:$N,vigencia!$F:$F,POAI!$D26)</f>
        <v>70590268</v>
      </c>
      <c r="J26" s="516">
        <f>SUMIFS(vigencia!$O:$O,vigencia!$F:$F,POAI!$D26)</f>
        <v>70590268</v>
      </c>
      <c r="K26" s="516">
        <f>F26-G26</f>
        <v>111193887</v>
      </c>
      <c r="L26" s="517">
        <f t="shared" ref="L26" si="16">I26/F26</f>
        <v>0.38831914695755526</v>
      </c>
      <c r="M26" s="517">
        <f t="shared" ref="M26" si="17">J26/F26</f>
        <v>0.38831914695755526</v>
      </c>
      <c r="N26" s="557"/>
      <c r="O26" s="516">
        <f>SUMIFS(vigencia!$P:$P,vigencia!$F:$F,POAI!$D26)</f>
        <v>70590268</v>
      </c>
      <c r="P26" s="518"/>
    </row>
    <row r="27" spans="1:16" s="518" customFormat="1" ht="25.5" customHeight="1" x14ac:dyDescent="0.25">
      <c r="A27" s="509"/>
      <c r="B27" s="509" t="s">
        <v>222</v>
      </c>
      <c r="C27" s="509"/>
      <c r="D27" s="534"/>
      <c r="E27" s="535"/>
      <c r="F27" s="534">
        <f>SUM(F2:F26)</f>
        <v>17632584138</v>
      </c>
      <c r="G27" s="534">
        <f t="shared" ref="G27:K27" si="18">SUM(G2:G26)</f>
        <v>12801767300</v>
      </c>
      <c r="H27" s="534">
        <f t="shared" si="18"/>
        <v>0</v>
      </c>
      <c r="I27" s="534">
        <f t="shared" si="18"/>
        <v>12801767300</v>
      </c>
      <c r="J27" s="534">
        <f t="shared" si="18"/>
        <v>12801767300</v>
      </c>
      <c r="K27" s="534">
        <f t="shared" si="18"/>
        <v>4830816838</v>
      </c>
      <c r="L27" s="536">
        <f>I27/F27</f>
        <v>0.72602899267673981</v>
      </c>
      <c r="M27" s="536">
        <f t="shared" ref="M27" si="19">J27/G27</f>
        <v>1</v>
      </c>
      <c r="N27" s="534">
        <f>N2+N4+N5+N7+N8+N13+N14+N15+N17+N18+N20+N21+N22+N23+N24+N25</f>
        <v>4830816838</v>
      </c>
      <c r="O27" s="534">
        <f>SUM(O2:O26)</f>
        <v>11236314185</v>
      </c>
    </row>
  </sheetData>
  <sheetProtection autoFilter="0"/>
  <autoFilter ref="A1:O27" xr:uid="{26C64B08-F9D7-4DD2-BF84-62BE7FE8923C}"/>
  <mergeCells count="25">
    <mergeCell ref="C7:C12"/>
    <mergeCell ref="N24:N26"/>
    <mergeCell ref="B20:B21"/>
    <mergeCell ref="C20:C21"/>
    <mergeCell ref="C22:C23"/>
    <mergeCell ref="B24:B25"/>
    <mergeCell ref="B22:B23"/>
    <mergeCell ref="C24:C26"/>
    <mergeCell ref="N20:N21"/>
    <mergeCell ref="B2:B3"/>
    <mergeCell ref="C2:C3"/>
    <mergeCell ref="N13:N14"/>
    <mergeCell ref="N22:N23"/>
    <mergeCell ref="N4:N6"/>
    <mergeCell ref="N15:N16"/>
    <mergeCell ref="N17:N19"/>
    <mergeCell ref="N7:N12"/>
    <mergeCell ref="B17:B18"/>
    <mergeCell ref="B13:B14"/>
    <mergeCell ref="C13:C14"/>
    <mergeCell ref="B4:B6"/>
    <mergeCell ref="C4:C6"/>
    <mergeCell ref="C15:C16"/>
    <mergeCell ref="C17:C19"/>
    <mergeCell ref="B7:B1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2AB5C-3C51-4DEC-BBA1-C18561F5C66C}">
  <dimension ref="A1:S6"/>
  <sheetViews>
    <sheetView workbookViewId="0">
      <pane xSplit="7" ySplit="1" topLeftCell="L2" activePane="bottomRight" state="frozen"/>
      <selection pane="topRight" activeCell="H1" sqref="H1"/>
      <selection pane="bottomLeft" activeCell="A2" sqref="A2"/>
      <selection pane="bottomRight" activeCell="L18" sqref="L18"/>
    </sheetView>
  </sheetViews>
  <sheetFormatPr baseColWidth="10" defaultColWidth="11.5546875" defaultRowHeight="13.8" x14ac:dyDescent="0.3"/>
  <cols>
    <col min="1" max="1" width="29.33203125" style="67" customWidth="1"/>
    <col min="2" max="2" width="7" style="67" customWidth="1"/>
    <col min="3" max="3" width="3.6640625" style="67" hidden="1" customWidth="1"/>
    <col min="4" max="4" width="20.88671875" style="67" customWidth="1"/>
    <col min="5" max="5" width="6.33203125" style="67" customWidth="1"/>
    <col min="6" max="6" width="8.44140625" style="67" customWidth="1"/>
    <col min="7" max="7" width="13.44140625" style="167" customWidth="1"/>
    <col min="8" max="8" width="7.109375" style="167" customWidth="1"/>
    <col min="9" max="9" width="11.33203125" style="167" customWidth="1"/>
    <col min="10" max="10" width="7.33203125" style="167" customWidth="1"/>
    <col min="11" max="11" width="11.33203125" style="167" customWidth="1"/>
    <col min="12" max="15" width="13.44140625" style="167" customWidth="1"/>
    <col min="16" max="16" width="14.33203125" style="167" customWidth="1"/>
    <col min="17" max="17" width="10" style="167" customWidth="1"/>
    <col min="18" max="18" width="11.109375" style="73" customWidth="1"/>
    <col min="19" max="19" width="10.5546875" style="73" customWidth="1"/>
    <col min="20" max="16384" width="11.5546875" style="67"/>
  </cols>
  <sheetData>
    <row r="1" spans="1:19" s="169" customFormat="1" ht="55.2" x14ac:dyDescent="0.3">
      <c r="A1" s="74" t="s">
        <v>143</v>
      </c>
      <c r="B1" s="75" t="s">
        <v>144</v>
      </c>
      <c r="C1" s="75" t="s">
        <v>145</v>
      </c>
      <c r="D1" s="75" t="s">
        <v>146</v>
      </c>
      <c r="E1" s="75" t="s">
        <v>767</v>
      </c>
      <c r="F1" s="75" t="s">
        <v>147</v>
      </c>
      <c r="G1" s="75" t="s">
        <v>148</v>
      </c>
      <c r="H1" s="75" t="s">
        <v>149</v>
      </c>
      <c r="I1" s="75" t="s">
        <v>150</v>
      </c>
      <c r="J1" s="75" t="s">
        <v>151</v>
      </c>
      <c r="K1" s="75" t="s">
        <v>152</v>
      </c>
      <c r="L1" s="75" t="s">
        <v>153</v>
      </c>
      <c r="M1" s="75" t="s">
        <v>154</v>
      </c>
      <c r="N1" s="75" t="s">
        <v>155</v>
      </c>
      <c r="O1" s="75" t="s">
        <v>156</v>
      </c>
      <c r="P1" s="75" t="s">
        <v>157</v>
      </c>
      <c r="Q1" s="75" t="s">
        <v>213</v>
      </c>
      <c r="R1" s="168" t="s">
        <v>214</v>
      </c>
      <c r="S1" s="168" t="s">
        <v>223</v>
      </c>
    </row>
    <row r="2" spans="1:19" x14ac:dyDescent="0.3">
      <c r="A2" s="78" t="s">
        <v>224</v>
      </c>
      <c r="B2" s="75"/>
      <c r="C2" s="75"/>
      <c r="D2" s="75"/>
      <c r="E2" s="75"/>
      <c r="F2" s="75"/>
      <c r="G2" s="76">
        <f>+G3+G5</f>
        <v>945766864</v>
      </c>
      <c r="H2" s="76">
        <f t="shared" ref="H2:Q2" si="0">+H3+H5</f>
        <v>0</v>
      </c>
      <c r="I2" s="76">
        <f t="shared" si="0"/>
        <v>0</v>
      </c>
      <c r="J2" s="76">
        <f t="shared" si="0"/>
        <v>0</v>
      </c>
      <c r="K2" s="76">
        <f t="shared" si="0"/>
        <v>0</v>
      </c>
      <c r="L2" s="76">
        <f t="shared" si="0"/>
        <v>945766864</v>
      </c>
      <c r="M2" s="76">
        <f t="shared" si="0"/>
        <v>944127759</v>
      </c>
      <c r="N2" s="76">
        <f t="shared" si="0"/>
        <v>944127759</v>
      </c>
      <c r="O2" s="76">
        <f t="shared" si="0"/>
        <v>944127759</v>
      </c>
      <c r="P2" s="76">
        <f t="shared" si="0"/>
        <v>944127759</v>
      </c>
      <c r="Q2" s="76">
        <f t="shared" si="0"/>
        <v>1639105</v>
      </c>
      <c r="R2" s="77">
        <f>+N2/L2</f>
        <v>0.99826690375568072</v>
      </c>
      <c r="S2" s="77">
        <f>+O2/L2</f>
        <v>0.99826690375568072</v>
      </c>
    </row>
    <row r="3" spans="1:19" x14ac:dyDescent="0.3">
      <c r="A3" s="79" t="s">
        <v>166</v>
      </c>
      <c r="B3" s="79"/>
      <c r="C3" s="79"/>
      <c r="D3" s="79"/>
      <c r="E3" s="79"/>
      <c r="F3" s="79"/>
      <c r="G3" s="165">
        <f t="shared" ref="G3:O5" si="1">SUM(G4:G4)</f>
        <v>95766864</v>
      </c>
      <c r="H3" s="165">
        <f t="shared" si="1"/>
        <v>0</v>
      </c>
      <c r="I3" s="165">
        <f t="shared" si="1"/>
        <v>0</v>
      </c>
      <c r="J3" s="165">
        <f t="shared" si="1"/>
        <v>0</v>
      </c>
      <c r="K3" s="165">
        <f t="shared" si="1"/>
        <v>0</v>
      </c>
      <c r="L3" s="165">
        <f t="shared" si="1"/>
        <v>95766864</v>
      </c>
      <c r="M3" s="165">
        <f t="shared" si="1"/>
        <v>94127759</v>
      </c>
      <c r="N3" s="165">
        <f t="shared" si="1"/>
        <v>94127759</v>
      </c>
      <c r="O3" s="165">
        <f t="shared" si="1"/>
        <v>94127759</v>
      </c>
      <c r="P3" s="165">
        <f>SUM(P4:P4)</f>
        <v>94127759</v>
      </c>
      <c r="Q3" s="165">
        <f>SUM(Q4:Q4)</f>
        <v>1639105</v>
      </c>
      <c r="R3" s="68">
        <f>+N3/L3</f>
        <v>0.98288442440800816</v>
      </c>
      <c r="S3" s="68">
        <f>+O3/L3</f>
        <v>0.98288442440800816</v>
      </c>
    </row>
    <row r="4" spans="1:19" x14ac:dyDescent="0.3">
      <c r="A4" s="65" t="s">
        <v>604</v>
      </c>
      <c r="B4" s="80" t="s">
        <v>768</v>
      </c>
      <c r="C4" s="80"/>
      <c r="D4" s="81" t="s">
        <v>664</v>
      </c>
      <c r="E4" s="65" t="s">
        <v>605</v>
      </c>
      <c r="F4" s="69" t="s">
        <v>217</v>
      </c>
      <c r="G4" s="166">
        <f>SUMIFS(ejec_ICPA!D:D,ejec_ICPA!A:A,vig.futuras!E4)</f>
        <v>95766864</v>
      </c>
      <c r="H4" s="166">
        <v>0</v>
      </c>
      <c r="I4" s="166">
        <v>0</v>
      </c>
      <c r="J4" s="166">
        <v>0</v>
      </c>
      <c r="K4" s="166">
        <v>0</v>
      </c>
      <c r="L4" s="70">
        <f>G4</f>
        <v>95766864</v>
      </c>
      <c r="M4" s="166">
        <f>SUMIFS(ejec_ICPA!K:K,ejec_ICPA!A:A,vig.futuras!E4)</f>
        <v>94127759</v>
      </c>
      <c r="N4" s="166">
        <f>SUMIFS(ejec_ICPA!L:L,ejec_ICPA!A:A,vig.futuras!E4)</f>
        <v>94127759</v>
      </c>
      <c r="O4" s="70">
        <f>SUMIFS(ejec_ICPA!$J:$J,ejec_ICPA!$A:$A,vig.futuras!$E4)</f>
        <v>94127759</v>
      </c>
      <c r="P4" s="70">
        <f>SUMIFS(ejec_ICPA!$M:$M,ejec_ICPA!$A:$A,vig.futuras!$E4)</f>
        <v>94127759</v>
      </c>
      <c r="Q4" s="166">
        <f>L4-M4</f>
        <v>1639105</v>
      </c>
      <c r="R4" s="82">
        <f>+N4/L4</f>
        <v>0.98288442440800816</v>
      </c>
      <c r="S4" s="71">
        <f>+O4/L4</f>
        <v>0.98288442440800816</v>
      </c>
    </row>
    <row r="5" spans="1:19" x14ac:dyDescent="0.3">
      <c r="A5" s="79" t="s">
        <v>718</v>
      </c>
      <c r="B5" s="79"/>
      <c r="C5" s="79"/>
      <c r="D5" s="79"/>
      <c r="E5" s="79"/>
      <c r="F5" s="79"/>
      <c r="G5" s="165">
        <f t="shared" si="1"/>
        <v>850000000</v>
      </c>
      <c r="H5" s="165">
        <f t="shared" si="1"/>
        <v>0</v>
      </c>
      <c r="I5" s="165">
        <f t="shared" si="1"/>
        <v>0</v>
      </c>
      <c r="J5" s="165">
        <f t="shared" si="1"/>
        <v>0</v>
      </c>
      <c r="K5" s="165">
        <f t="shared" si="1"/>
        <v>0</v>
      </c>
      <c r="L5" s="165">
        <f t="shared" si="1"/>
        <v>850000000</v>
      </c>
      <c r="M5" s="165">
        <f t="shared" si="1"/>
        <v>850000000</v>
      </c>
      <c r="N5" s="165">
        <f t="shared" si="1"/>
        <v>850000000</v>
      </c>
      <c r="O5" s="165">
        <f t="shared" si="1"/>
        <v>850000000</v>
      </c>
      <c r="P5" s="165">
        <f>SUM(P6:P6)</f>
        <v>850000000</v>
      </c>
      <c r="Q5" s="165">
        <f>SUM(Q6:Q6)</f>
        <v>0</v>
      </c>
      <c r="R5" s="68">
        <f>+N5/L5</f>
        <v>1</v>
      </c>
      <c r="S5" s="68">
        <f>+O5/L5</f>
        <v>1</v>
      </c>
    </row>
    <row r="6" spans="1:19" x14ac:dyDescent="0.3">
      <c r="A6" s="164" t="s">
        <v>434</v>
      </c>
      <c r="B6" s="83" t="s">
        <v>758</v>
      </c>
      <c r="C6" s="69"/>
      <c r="D6" s="83" t="s">
        <v>821</v>
      </c>
      <c r="E6" s="84" t="s">
        <v>716</v>
      </c>
      <c r="F6" s="69" t="s">
        <v>217</v>
      </c>
      <c r="G6" s="70">
        <f>SUMIFS(vigencia!G:G,vigencia!E:E,vig.futuras!E6)</f>
        <v>850000000</v>
      </c>
      <c r="H6" s="166">
        <v>0</v>
      </c>
      <c r="I6" s="166">
        <v>0</v>
      </c>
      <c r="J6" s="166">
        <v>0</v>
      </c>
      <c r="K6" s="166">
        <v>0</v>
      </c>
      <c r="L6" s="70">
        <f>G6</f>
        <v>850000000</v>
      </c>
      <c r="M6" s="70">
        <f>SUMIFS(vigencia!M:M,vigencia!E:E,vig.futuras!E6)</f>
        <v>850000000</v>
      </c>
      <c r="N6" s="70">
        <f>SUMIFS(vigencia!N:N,vigencia!E:E,vig.futuras!E6)</f>
        <v>850000000</v>
      </c>
      <c r="O6" s="70">
        <f>SUMIFS(ejec_ICPA!$J:$J,ejec_ICPA!$A:$A,vig.futuras!$E6)</f>
        <v>850000000</v>
      </c>
      <c r="P6" s="70">
        <f>SUMIFS(ejec_ICPA!$M:$M,ejec_ICPA!$A:$A,vig.futuras!$E6)</f>
        <v>850000000</v>
      </c>
      <c r="Q6" s="70">
        <f>L6-M6</f>
        <v>0</v>
      </c>
      <c r="R6" s="72">
        <f>N6/L6</f>
        <v>1</v>
      </c>
      <c r="S6" s="71">
        <f>+O6/L6</f>
        <v>1</v>
      </c>
    </row>
  </sheetData>
  <sheetProtection autoFilter="0"/>
  <autoFilter ref="A1:S6" xr:uid="{B05C3F03-BBA7-4470-AE72-E2CA56B41684}"/>
  <pageMargins left="0.7" right="0.7" top="0.75" bottom="0.75" header="0.3" footer="0.3"/>
  <headerFooter alignWithMargins="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
  <sheetViews>
    <sheetView topLeftCell="C1" workbookViewId="0">
      <selection activeCell="M5" sqref="M5"/>
    </sheetView>
  </sheetViews>
  <sheetFormatPr baseColWidth="10" defaultColWidth="11.44140625" defaultRowHeight="12" x14ac:dyDescent="0.25"/>
  <cols>
    <col min="1" max="1" width="29.33203125" style="163" customWidth="1"/>
    <col min="2" max="2" width="7" style="163" customWidth="1"/>
    <col min="3" max="3" width="3.6640625" style="163" customWidth="1"/>
    <col min="4" max="4" width="20.88671875" style="163" customWidth="1"/>
    <col min="5" max="5" width="8.33203125" style="163" customWidth="1"/>
    <col min="6" max="6" width="13.44140625" style="66" customWidth="1"/>
    <col min="7" max="7" width="7.109375" style="66" customWidth="1"/>
    <col min="8" max="8" width="11.33203125" style="66" customWidth="1"/>
    <col min="9" max="9" width="7.33203125" style="66" customWidth="1"/>
    <col min="10" max="10" width="11.33203125" style="66" customWidth="1"/>
    <col min="11" max="11" width="13.44140625" style="66" customWidth="1"/>
    <col min="12" max="12" width="14.109375" style="66" customWidth="1"/>
    <col min="13" max="14" width="13.44140625" style="66" customWidth="1"/>
    <col min="15" max="15" width="14.33203125" style="66" customWidth="1"/>
    <col min="16" max="16" width="10" style="66" customWidth="1"/>
    <col min="17" max="17" width="11.109375" style="66" customWidth="1"/>
    <col min="18" max="18" width="10.5546875" style="66" customWidth="1"/>
    <col min="19" max="16384" width="11.44140625" style="163"/>
  </cols>
  <sheetData>
    <row r="1" spans="1:18" s="155" customFormat="1" ht="36" x14ac:dyDescent="0.25">
      <c r="A1" s="1" t="s">
        <v>143</v>
      </c>
      <c r="B1" s="1" t="s">
        <v>144</v>
      </c>
      <c r="C1" s="1" t="s">
        <v>145</v>
      </c>
      <c r="D1" s="1" t="s">
        <v>146</v>
      </c>
      <c r="E1" s="1" t="s">
        <v>147</v>
      </c>
      <c r="F1" s="1" t="s">
        <v>148</v>
      </c>
      <c r="G1" s="1" t="s">
        <v>149</v>
      </c>
      <c r="H1" s="1" t="s">
        <v>150</v>
      </c>
      <c r="I1" s="1" t="s">
        <v>151</v>
      </c>
      <c r="J1" s="1" t="s">
        <v>152</v>
      </c>
      <c r="K1" s="2" t="s">
        <v>153</v>
      </c>
      <c r="L1" s="2" t="s">
        <v>154</v>
      </c>
      <c r="M1" s="2" t="s">
        <v>155</v>
      </c>
      <c r="N1" s="1" t="s">
        <v>156</v>
      </c>
      <c r="O1" s="1" t="s">
        <v>157</v>
      </c>
      <c r="P1" s="2" t="s">
        <v>213</v>
      </c>
      <c r="Q1" s="149" t="s">
        <v>214</v>
      </c>
      <c r="R1" s="149" t="s">
        <v>223</v>
      </c>
    </row>
    <row r="2" spans="1:18" s="156" customFormat="1" x14ac:dyDescent="0.25">
      <c r="A2" s="148" t="s">
        <v>769</v>
      </c>
      <c r="B2" s="1"/>
      <c r="C2" s="1"/>
      <c r="D2" s="1"/>
      <c r="E2" s="1"/>
      <c r="F2" s="151">
        <f>+F3</f>
        <v>820322996</v>
      </c>
      <c r="G2" s="151">
        <f t="shared" ref="G2:O2" si="0">+G3</f>
        <v>0</v>
      </c>
      <c r="H2" s="151">
        <f t="shared" si="0"/>
        <v>0</v>
      </c>
      <c r="I2" s="151">
        <f t="shared" si="0"/>
        <v>0</v>
      </c>
      <c r="J2" s="151">
        <f t="shared" si="0"/>
        <v>0</v>
      </c>
      <c r="K2" s="151">
        <f t="shared" si="0"/>
        <v>820322996</v>
      </c>
      <c r="L2" s="151">
        <f t="shared" si="0"/>
        <v>820322996</v>
      </c>
      <c r="M2" s="151">
        <f t="shared" si="0"/>
        <v>820322996</v>
      </c>
      <c r="N2" s="151">
        <f t="shared" si="0"/>
        <v>820322996</v>
      </c>
      <c r="O2" s="151">
        <f t="shared" si="0"/>
        <v>820322996</v>
      </c>
      <c r="P2" s="151">
        <f>+P3</f>
        <v>0</v>
      </c>
      <c r="Q2" s="150">
        <f>+M2/K2</f>
        <v>1</v>
      </c>
      <c r="R2" s="150">
        <f>+N2/K2</f>
        <v>1</v>
      </c>
    </row>
    <row r="3" spans="1:18" s="156" customFormat="1" x14ac:dyDescent="0.25">
      <c r="A3" s="157" t="s">
        <v>718</v>
      </c>
      <c r="B3" s="157"/>
      <c r="C3" s="157"/>
      <c r="D3" s="157"/>
      <c r="E3" s="157"/>
      <c r="F3" s="158">
        <f>SUM(F4:F7)</f>
        <v>820322996</v>
      </c>
      <c r="G3" s="158">
        <f t="shared" ref="G3:J3" si="1">SUM(G4:G4)</f>
        <v>0</v>
      </c>
      <c r="H3" s="158">
        <f t="shared" si="1"/>
        <v>0</v>
      </c>
      <c r="I3" s="158">
        <f t="shared" si="1"/>
        <v>0</v>
      </c>
      <c r="J3" s="158">
        <f t="shared" si="1"/>
        <v>0</v>
      </c>
      <c r="K3" s="158">
        <f t="shared" ref="K3:M3" si="2">SUM(K4:K7)</f>
        <v>820322996</v>
      </c>
      <c r="L3" s="158">
        <f t="shared" si="2"/>
        <v>820322996</v>
      </c>
      <c r="M3" s="158">
        <f t="shared" si="2"/>
        <v>820322996</v>
      </c>
      <c r="N3" s="158">
        <f t="shared" ref="N3" si="3">SUM(N4:N7)</f>
        <v>820322996</v>
      </c>
      <c r="O3" s="158">
        <f t="shared" ref="O3" si="4">SUM(O4:O7)</f>
        <v>820322996</v>
      </c>
      <c r="P3" s="158">
        <f t="shared" ref="P3" si="5">SUM(P4:P7)</f>
        <v>0</v>
      </c>
      <c r="Q3" s="159">
        <f>+M3/K3</f>
        <v>1</v>
      </c>
      <c r="R3" s="159">
        <f>+N3/K3</f>
        <v>1</v>
      </c>
    </row>
    <row r="4" spans="1:18" s="156" customFormat="1" x14ac:dyDescent="0.25">
      <c r="A4" s="160" t="s">
        <v>817</v>
      </c>
      <c r="B4" s="160">
        <v>600430</v>
      </c>
      <c r="C4" s="152"/>
      <c r="D4" s="160" t="s">
        <v>122</v>
      </c>
      <c r="E4" s="160" t="s">
        <v>217</v>
      </c>
      <c r="F4" s="161">
        <v>385802470</v>
      </c>
      <c r="G4" s="153">
        <v>0</v>
      </c>
      <c r="H4" s="153">
        <v>0</v>
      </c>
      <c r="I4" s="153">
        <v>0</v>
      </c>
      <c r="J4" s="153">
        <v>0</v>
      </c>
      <c r="K4" s="153">
        <f>F4+G4-H4+I4-J4</f>
        <v>385802470</v>
      </c>
      <c r="L4" s="161">
        <v>385802470</v>
      </c>
      <c r="M4" s="161">
        <v>385802470</v>
      </c>
      <c r="N4" s="161">
        <v>385802470</v>
      </c>
      <c r="O4" s="161">
        <v>385802470</v>
      </c>
      <c r="P4" s="153">
        <f>K4-L4</f>
        <v>0</v>
      </c>
      <c r="Q4" s="154">
        <f>M4/K4</f>
        <v>1</v>
      </c>
      <c r="R4" s="162">
        <f>N4/K4</f>
        <v>1</v>
      </c>
    </row>
    <row r="5" spans="1:18" s="156" customFormat="1" x14ac:dyDescent="0.25">
      <c r="A5" s="160" t="s">
        <v>817</v>
      </c>
      <c r="B5" s="160">
        <v>600430</v>
      </c>
      <c r="C5" s="160"/>
      <c r="D5" s="160" t="s">
        <v>122</v>
      </c>
      <c r="E5" s="160" t="s">
        <v>219</v>
      </c>
      <c r="F5" s="161">
        <v>214135353</v>
      </c>
      <c r="G5" s="153">
        <v>0</v>
      </c>
      <c r="H5" s="153">
        <v>0</v>
      </c>
      <c r="I5" s="153">
        <v>0</v>
      </c>
      <c r="J5" s="153">
        <v>0</v>
      </c>
      <c r="K5" s="153">
        <f t="shared" ref="K5:K7" si="6">F5+G5-H5+I5-J5</f>
        <v>214135353</v>
      </c>
      <c r="L5" s="161">
        <v>214135353</v>
      </c>
      <c r="M5" s="161">
        <v>214135353</v>
      </c>
      <c r="N5" s="161">
        <v>214135353</v>
      </c>
      <c r="O5" s="161">
        <v>214135353</v>
      </c>
      <c r="P5" s="153">
        <f t="shared" ref="P5:P7" si="7">K5-L5</f>
        <v>0</v>
      </c>
      <c r="Q5" s="154">
        <f t="shared" ref="Q5:Q7" si="8">M5/K5</f>
        <v>1</v>
      </c>
      <c r="R5" s="162">
        <f t="shared" ref="R5:R7" si="9">N5/K5</f>
        <v>1</v>
      </c>
    </row>
    <row r="6" spans="1:18" s="156" customFormat="1" x14ac:dyDescent="0.25">
      <c r="A6" s="160" t="s">
        <v>817</v>
      </c>
      <c r="B6" s="160">
        <v>600430</v>
      </c>
      <c r="C6" s="160"/>
      <c r="D6" s="160" t="s">
        <v>122</v>
      </c>
      <c r="E6" s="160" t="s">
        <v>220</v>
      </c>
      <c r="F6" s="161">
        <v>99125173</v>
      </c>
      <c r="G6" s="153">
        <v>0</v>
      </c>
      <c r="H6" s="153">
        <v>0</v>
      </c>
      <c r="I6" s="153">
        <v>0</v>
      </c>
      <c r="J6" s="153">
        <v>0</v>
      </c>
      <c r="K6" s="153">
        <f t="shared" si="6"/>
        <v>99125173</v>
      </c>
      <c r="L6" s="161">
        <v>99125173</v>
      </c>
      <c r="M6" s="161">
        <v>99125173</v>
      </c>
      <c r="N6" s="161">
        <v>99125173</v>
      </c>
      <c r="O6" s="161">
        <v>99125173</v>
      </c>
      <c r="P6" s="153">
        <f t="shared" si="7"/>
        <v>0</v>
      </c>
      <c r="Q6" s="154">
        <f t="shared" si="8"/>
        <v>1</v>
      </c>
      <c r="R6" s="162">
        <f t="shared" si="9"/>
        <v>1</v>
      </c>
    </row>
    <row r="7" spans="1:18" s="156" customFormat="1" x14ac:dyDescent="0.25">
      <c r="A7" s="160" t="s">
        <v>819</v>
      </c>
      <c r="B7" s="160">
        <v>600180</v>
      </c>
      <c r="C7" s="160"/>
      <c r="D7" s="160" t="s">
        <v>135</v>
      </c>
      <c r="E7" s="160" t="s">
        <v>220</v>
      </c>
      <c r="F7" s="161">
        <v>121260000</v>
      </c>
      <c r="G7" s="153">
        <v>0</v>
      </c>
      <c r="H7" s="153">
        <v>0</v>
      </c>
      <c r="I7" s="153">
        <v>0</v>
      </c>
      <c r="J7" s="153">
        <v>0</v>
      </c>
      <c r="K7" s="153">
        <f t="shared" si="6"/>
        <v>121260000</v>
      </c>
      <c r="L7" s="161">
        <v>121260000</v>
      </c>
      <c r="M7" s="161">
        <v>121260000</v>
      </c>
      <c r="N7" s="161">
        <v>121260000</v>
      </c>
      <c r="O7" s="161">
        <v>121260000</v>
      </c>
      <c r="P7" s="153">
        <f t="shared" si="7"/>
        <v>0</v>
      </c>
      <c r="Q7" s="154">
        <f t="shared" si="8"/>
        <v>1</v>
      </c>
      <c r="R7" s="162">
        <f t="shared" si="9"/>
        <v>1</v>
      </c>
    </row>
  </sheetData>
  <pageMargins left="0.7" right="0.7" top="0.75" bottom="0.75" header="0.3" footer="0.3"/>
  <pageSetup paperSize="9" orientation="portrait" horizontalDpi="0"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8"/>
  <sheetViews>
    <sheetView zoomScale="120" zoomScaleNormal="120" workbookViewId="0">
      <pane xSplit="5" ySplit="2" topLeftCell="F12" activePane="bottomRight" state="frozen"/>
      <selection pane="topRight" activeCell="F1" sqref="F1"/>
      <selection pane="bottomLeft" activeCell="A3" sqref="A3"/>
      <selection pane="bottomRight" activeCell="F3" sqref="F3"/>
    </sheetView>
  </sheetViews>
  <sheetFormatPr baseColWidth="10" defaultRowHeight="13.2" x14ac:dyDescent="0.25"/>
  <cols>
    <col min="1" max="1" width="45" customWidth="1"/>
    <col min="2" max="2" width="6.88671875" customWidth="1"/>
    <col min="3" max="4" width="10.33203125" customWidth="1"/>
    <col min="5" max="5" width="27.88671875" customWidth="1"/>
    <col min="6" max="6" width="15.88671875" customWidth="1"/>
    <col min="7" max="7" width="13.6640625" customWidth="1"/>
    <col min="8" max="8" width="6.33203125" customWidth="1"/>
    <col min="9" max="9" width="16.88671875" customWidth="1"/>
    <col min="10" max="10" width="14.88671875" customWidth="1"/>
    <col min="11" max="11" width="16.88671875" customWidth="1"/>
    <col min="12" max="12" width="10.5546875" customWidth="1"/>
    <col min="13" max="13" width="11.109375" customWidth="1"/>
    <col min="14" max="14" width="14.88671875" customWidth="1"/>
  </cols>
  <sheetData>
    <row r="1" spans="1:14" ht="35.25" customHeight="1" thickBot="1" x14ac:dyDescent="0.35">
      <c r="A1" s="25" t="s">
        <v>225</v>
      </c>
      <c r="B1" s="26" t="s">
        <v>226</v>
      </c>
      <c r="C1" s="27" t="s">
        <v>227</v>
      </c>
      <c r="D1" s="26" t="s">
        <v>228</v>
      </c>
      <c r="E1" s="27" t="s">
        <v>229</v>
      </c>
      <c r="F1" s="28" t="s">
        <v>230</v>
      </c>
      <c r="G1" s="28" t="s">
        <v>210</v>
      </c>
      <c r="H1" s="28" t="s">
        <v>231</v>
      </c>
      <c r="I1" s="28" t="s">
        <v>232</v>
      </c>
      <c r="J1" s="28" t="s">
        <v>233</v>
      </c>
      <c r="K1" s="28" t="s">
        <v>234</v>
      </c>
      <c r="L1" s="28" t="s">
        <v>213</v>
      </c>
      <c r="M1" s="29" t="s">
        <v>235</v>
      </c>
      <c r="N1" s="30" t="s">
        <v>236</v>
      </c>
    </row>
    <row r="2" spans="1:14" ht="13.8" x14ac:dyDescent="0.3">
      <c r="A2" s="31" t="s">
        <v>34</v>
      </c>
      <c r="B2" s="32"/>
      <c r="C2" s="32"/>
      <c r="D2" s="32"/>
      <c r="E2" s="32"/>
      <c r="F2" s="32"/>
      <c r="G2" s="32"/>
      <c r="H2" s="32"/>
      <c r="I2" s="32"/>
      <c r="J2" s="32"/>
      <c r="K2" s="32"/>
      <c r="L2" s="32"/>
      <c r="M2" s="32"/>
      <c r="N2" s="33"/>
    </row>
    <row r="3" spans="1:14" ht="13.8" x14ac:dyDescent="0.3">
      <c r="A3" t="s">
        <v>813</v>
      </c>
      <c r="B3" s="34" t="s">
        <v>217</v>
      </c>
      <c r="C3" s="35">
        <v>999999999</v>
      </c>
      <c r="D3" s="136" t="str">
        <f t="shared" ref="D3:D11" si="0">RIGHT(E3,7)</f>
        <v>0001111</v>
      </c>
      <c r="E3" s="131" t="s">
        <v>37</v>
      </c>
      <c r="F3" s="56">
        <v>0</v>
      </c>
      <c r="G3" s="50">
        <v>0</v>
      </c>
      <c r="H3" s="50">
        <v>0</v>
      </c>
      <c r="I3" s="133">
        <v>238985</v>
      </c>
      <c r="J3" s="51">
        <f>I3-K3</f>
        <v>0</v>
      </c>
      <c r="K3" s="44">
        <v>238985</v>
      </c>
      <c r="L3" s="50">
        <v>0</v>
      </c>
      <c r="M3" s="36">
        <f>K3/I3</f>
        <v>1</v>
      </c>
      <c r="N3" s="50">
        <f>I3-K3</f>
        <v>0</v>
      </c>
    </row>
    <row r="4" spans="1:14" ht="13.8" x14ac:dyDescent="0.3">
      <c r="A4" t="s">
        <v>40</v>
      </c>
      <c r="B4" s="34" t="s">
        <v>217</v>
      </c>
      <c r="C4" s="35">
        <v>999999999</v>
      </c>
      <c r="D4" s="136" t="str">
        <f t="shared" si="0"/>
        <v>0001114</v>
      </c>
      <c r="E4" s="132" t="s">
        <v>41</v>
      </c>
      <c r="F4" s="56">
        <v>0</v>
      </c>
      <c r="G4" s="50">
        <v>0</v>
      </c>
      <c r="H4" s="50">
        <v>0</v>
      </c>
      <c r="I4" s="134">
        <v>528452</v>
      </c>
      <c r="J4" s="51">
        <f t="shared" ref="J4:J11" si="1">I4-K4</f>
        <v>0</v>
      </c>
      <c r="K4" s="44">
        <v>528452</v>
      </c>
      <c r="L4" s="50">
        <v>0</v>
      </c>
      <c r="M4" s="36">
        <f>K4/I4</f>
        <v>1</v>
      </c>
      <c r="N4" s="50">
        <f t="shared" ref="N4:N11" si="2">I4-K4</f>
        <v>0</v>
      </c>
    </row>
    <row r="5" spans="1:14" ht="13.8" x14ac:dyDescent="0.3">
      <c r="A5" t="s">
        <v>42</v>
      </c>
      <c r="B5" s="34" t="s">
        <v>217</v>
      </c>
      <c r="C5" s="35">
        <v>999999999</v>
      </c>
      <c r="D5" s="136" t="str">
        <f t="shared" si="0"/>
        <v>0011110</v>
      </c>
      <c r="E5" s="132" t="s">
        <v>43</v>
      </c>
      <c r="F5" s="56">
        <v>0</v>
      </c>
      <c r="G5" s="50">
        <v>0</v>
      </c>
      <c r="H5" s="50">
        <v>0</v>
      </c>
      <c r="I5" s="134">
        <v>22032750</v>
      </c>
      <c r="J5" s="51">
        <f t="shared" si="1"/>
        <v>0</v>
      </c>
      <c r="K5" s="44">
        <v>22032750</v>
      </c>
      <c r="L5" s="50">
        <v>0</v>
      </c>
      <c r="M5" s="36">
        <f>K5/I5</f>
        <v>1</v>
      </c>
      <c r="N5" s="50">
        <f t="shared" si="2"/>
        <v>0</v>
      </c>
    </row>
    <row r="6" spans="1:14" ht="13.8" x14ac:dyDescent="0.3">
      <c r="A6" t="s">
        <v>50</v>
      </c>
      <c r="B6" s="34" t="s">
        <v>217</v>
      </c>
      <c r="C6" s="35">
        <v>999999999</v>
      </c>
      <c r="D6" s="136" t="str">
        <f t="shared" si="0"/>
        <v>0001134</v>
      </c>
      <c r="E6" s="132" t="s">
        <v>51</v>
      </c>
      <c r="F6" s="56">
        <v>0</v>
      </c>
      <c r="G6" s="50">
        <v>0</v>
      </c>
      <c r="H6" s="50">
        <v>0</v>
      </c>
      <c r="I6" s="134">
        <v>5901197</v>
      </c>
      <c r="J6" s="51">
        <f t="shared" si="1"/>
        <v>0</v>
      </c>
      <c r="K6" s="44">
        <v>5901197</v>
      </c>
      <c r="L6" s="50">
        <v>0</v>
      </c>
      <c r="M6" s="36">
        <f t="shared" ref="M6:M11" si="3">K6/I6</f>
        <v>1</v>
      </c>
      <c r="N6" s="50">
        <f t="shared" si="2"/>
        <v>0</v>
      </c>
    </row>
    <row r="7" spans="1:14" ht="13.8" x14ac:dyDescent="0.3">
      <c r="A7" t="s">
        <v>70</v>
      </c>
      <c r="B7" s="34" t="s">
        <v>217</v>
      </c>
      <c r="C7" s="35">
        <v>999999999</v>
      </c>
      <c r="D7" s="136" t="str">
        <f t="shared" si="0"/>
        <v>1142141</v>
      </c>
      <c r="E7" s="132" t="s">
        <v>71</v>
      </c>
      <c r="F7" s="56">
        <v>0</v>
      </c>
      <c r="G7" s="50">
        <v>0</v>
      </c>
      <c r="H7" s="50">
        <v>0</v>
      </c>
      <c r="I7" s="134">
        <v>190963149</v>
      </c>
      <c r="J7" s="51">
        <f t="shared" si="1"/>
        <v>0</v>
      </c>
      <c r="K7" s="64">
        <v>190963149</v>
      </c>
      <c r="L7" s="50">
        <v>0</v>
      </c>
      <c r="M7" s="36">
        <f t="shared" si="3"/>
        <v>1</v>
      </c>
      <c r="N7" s="50">
        <f t="shared" si="2"/>
        <v>0</v>
      </c>
    </row>
    <row r="8" spans="1:14" ht="13.8" x14ac:dyDescent="0.3">
      <c r="A8" t="s">
        <v>793</v>
      </c>
      <c r="B8" s="34" t="s">
        <v>217</v>
      </c>
      <c r="C8" s="35">
        <v>999999999</v>
      </c>
      <c r="D8" s="136" t="str">
        <f t="shared" si="0"/>
        <v>0012211</v>
      </c>
      <c r="E8" s="132" t="s">
        <v>82</v>
      </c>
      <c r="F8" s="56">
        <v>0</v>
      </c>
      <c r="G8" s="50">
        <v>0</v>
      </c>
      <c r="H8" s="50">
        <v>0</v>
      </c>
      <c r="I8" s="134">
        <v>6228350</v>
      </c>
      <c r="J8" s="51">
        <f t="shared" si="1"/>
        <v>0</v>
      </c>
      <c r="K8" s="134">
        <v>6228350</v>
      </c>
      <c r="L8" s="50">
        <v>0</v>
      </c>
      <c r="M8" s="36">
        <f t="shared" si="3"/>
        <v>1</v>
      </c>
      <c r="N8" s="50">
        <f t="shared" si="2"/>
        <v>0</v>
      </c>
    </row>
    <row r="9" spans="1:14" ht="13.8" x14ac:dyDescent="0.3">
      <c r="A9" t="s">
        <v>89</v>
      </c>
      <c r="B9" s="34" t="s">
        <v>217</v>
      </c>
      <c r="C9" s="35">
        <v>999999999</v>
      </c>
      <c r="D9" s="136" t="str">
        <f t="shared" si="0"/>
        <v>0012262</v>
      </c>
      <c r="E9" s="132" t="s">
        <v>90</v>
      </c>
      <c r="F9" s="56">
        <v>0</v>
      </c>
      <c r="G9" s="50">
        <v>0</v>
      </c>
      <c r="H9" s="50">
        <v>0</v>
      </c>
      <c r="I9" s="134">
        <v>2016042</v>
      </c>
      <c r="J9" s="51">
        <f t="shared" si="1"/>
        <v>0</v>
      </c>
      <c r="K9" s="44">
        <v>2016042</v>
      </c>
      <c r="L9" s="50">
        <v>0</v>
      </c>
      <c r="M9" s="36">
        <f t="shared" si="3"/>
        <v>1</v>
      </c>
      <c r="N9" s="50">
        <f t="shared" si="2"/>
        <v>0</v>
      </c>
    </row>
    <row r="10" spans="1:14" ht="13.8" x14ac:dyDescent="0.3">
      <c r="A10" t="s">
        <v>791</v>
      </c>
      <c r="B10" s="34" t="s">
        <v>217</v>
      </c>
      <c r="C10" s="35">
        <v>999999999</v>
      </c>
      <c r="D10" s="136" t="str">
        <f t="shared" si="0"/>
        <v>0012290</v>
      </c>
      <c r="E10" s="132" t="s">
        <v>96</v>
      </c>
      <c r="F10" s="56">
        <v>0</v>
      </c>
      <c r="G10" s="50">
        <v>0</v>
      </c>
      <c r="H10" s="50">
        <v>0</v>
      </c>
      <c r="I10" s="134">
        <v>4473888</v>
      </c>
      <c r="J10" s="51">
        <f t="shared" si="1"/>
        <v>0</v>
      </c>
      <c r="K10" s="44">
        <v>4473888</v>
      </c>
      <c r="L10" s="50">
        <v>0</v>
      </c>
      <c r="M10" s="36">
        <f t="shared" si="3"/>
        <v>1</v>
      </c>
      <c r="N10" s="50">
        <f t="shared" si="2"/>
        <v>0</v>
      </c>
    </row>
    <row r="11" spans="1:14" ht="13.8" x14ac:dyDescent="0.3">
      <c r="A11" t="s">
        <v>237</v>
      </c>
      <c r="B11" s="34" t="s">
        <v>217</v>
      </c>
      <c r="C11" s="35">
        <v>999999999</v>
      </c>
      <c r="D11" s="136" t="str">
        <f t="shared" si="0"/>
        <v>0001290</v>
      </c>
      <c r="E11" s="132" t="s">
        <v>102</v>
      </c>
      <c r="F11" s="56">
        <v>0</v>
      </c>
      <c r="G11" s="50">
        <v>0</v>
      </c>
      <c r="H11" s="50">
        <v>0</v>
      </c>
      <c r="I11" s="134">
        <v>320531</v>
      </c>
      <c r="J11" s="51">
        <f t="shared" si="1"/>
        <v>0</v>
      </c>
      <c r="K11" s="44">
        <v>320531</v>
      </c>
      <c r="L11" s="50">
        <v>0</v>
      </c>
      <c r="M11" s="36">
        <f t="shared" si="3"/>
        <v>1</v>
      </c>
      <c r="N11" s="50">
        <f t="shared" si="2"/>
        <v>0</v>
      </c>
    </row>
    <row r="12" spans="1:14" ht="13.8" x14ac:dyDescent="0.3">
      <c r="A12" s="37" t="s">
        <v>238</v>
      </c>
      <c r="B12" s="37"/>
      <c r="C12" s="37"/>
      <c r="D12" s="37"/>
      <c r="E12" s="37"/>
      <c r="F12" s="52"/>
      <c r="G12" s="52">
        <v>0</v>
      </c>
      <c r="H12" s="52"/>
      <c r="I12" s="52"/>
      <c r="J12" s="52"/>
      <c r="K12" s="52"/>
      <c r="L12" s="52"/>
      <c r="M12" s="54"/>
      <c r="N12" s="53"/>
    </row>
    <row r="13" spans="1:14" ht="13.8" x14ac:dyDescent="0.3">
      <c r="A13" t="s">
        <v>816</v>
      </c>
      <c r="B13" s="34" t="s">
        <v>217</v>
      </c>
      <c r="C13" s="35">
        <v>330801000</v>
      </c>
      <c r="D13" s="136" t="str">
        <f>RIGHT(E13,7)</f>
        <v>0600270</v>
      </c>
      <c r="E13" s="132" t="s">
        <v>114</v>
      </c>
      <c r="F13" s="56">
        <v>0</v>
      </c>
      <c r="G13" s="50">
        <v>0</v>
      </c>
      <c r="H13" s="50">
        <v>0</v>
      </c>
      <c r="I13" s="134">
        <v>165331342</v>
      </c>
      <c r="J13" s="51">
        <f t="shared" ref="J13:J23" si="4">I13-K13</f>
        <v>0</v>
      </c>
      <c r="K13" s="134">
        <v>165331342</v>
      </c>
      <c r="L13" s="50">
        <v>0</v>
      </c>
      <c r="M13" s="36">
        <f t="shared" ref="M13:M23" si="5">K13/I13</f>
        <v>1</v>
      </c>
      <c r="N13" s="50">
        <f t="shared" ref="N13:N23" si="6">I13-K13</f>
        <v>0</v>
      </c>
    </row>
    <row r="14" spans="1:14" ht="13.8" x14ac:dyDescent="0.3">
      <c r="A14" t="s">
        <v>115</v>
      </c>
      <c r="B14" s="34" t="s">
        <v>217</v>
      </c>
      <c r="C14" s="35">
        <v>330801000</v>
      </c>
      <c r="D14" s="136" t="str">
        <f t="shared" ref="D14:D23" si="7">RIGHT(E14,7)</f>
        <v>0600340</v>
      </c>
      <c r="E14" s="135" t="s">
        <v>116</v>
      </c>
      <c r="F14" s="56">
        <v>0</v>
      </c>
      <c r="G14" s="50">
        <v>0</v>
      </c>
      <c r="H14" s="50">
        <v>0</v>
      </c>
      <c r="I14" s="134">
        <v>10132536</v>
      </c>
      <c r="J14" s="51">
        <f t="shared" si="4"/>
        <v>0</v>
      </c>
      <c r="K14" s="134">
        <v>10132536</v>
      </c>
      <c r="L14" s="50">
        <v>0</v>
      </c>
      <c r="M14" s="36">
        <f t="shared" si="5"/>
        <v>1</v>
      </c>
      <c r="N14" s="50">
        <f t="shared" si="6"/>
        <v>0</v>
      </c>
    </row>
    <row r="15" spans="1:14" ht="13.8" x14ac:dyDescent="0.3">
      <c r="A15" t="s">
        <v>117</v>
      </c>
      <c r="B15" s="34" t="s">
        <v>217</v>
      </c>
      <c r="C15" s="35">
        <v>330802000</v>
      </c>
      <c r="D15" s="136" t="str">
        <f t="shared" si="7"/>
        <v>0600420</v>
      </c>
      <c r="E15" s="135" t="s">
        <v>118</v>
      </c>
      <c r="F15" s="56">
        <v>0</v>
      </c>
      <c r="G15" s="50">
        <v>0</v>
      </c>
      <c r="H15" s="50">
        <v>0</v>
      </c>
      <c r="I15" s="134">
        <v>11399104</v>
      </c>
      <c r="J15" s="51">
        <f t="shared" si="4"/>
        <v>0</v>
      </c>
      <c r="K15" s="134">
        <v>11399104</v>
      </c>
      <c r="L15" s="50">
        <v>0</v>
      </c>
      <c r="M15" s="36">
        <f t="shared" si="5"/>
        <v>1</v>
      </c>
      <c r="N15" s="50">
        <f t="shared" si="6"/>
        <v>0</v>
      </c>
    </row>
    <row r="16" spans="1:14" ht="13.8" x14ac:dyDescent="0.3">
      <c r="A16" t="s">
        <v>119</v>
      </c>
      <c r="B16" s="34" t="s">
        <v>217</v>
      </c>
      <c r="C16" s="35">
        <v>330801000</v>
      </c>
      <c r="D16" s="136" t="str">
        <f t="shared" si="7"/>
        <v>0600410</v>
      </c>
      <c r="E16" s="135" t="s">
        <v>120</v>
      </c>
      <c r="F16" s="56">
        <v>0</v>
      </c>
      <c r="G16" s="50">
        <v>0</v>
      </c>
      <c r="H16" s="50">
        <v>0</v>
      </c>
      <c r="I16" s="134">
        <v>80000000</v>
      </c>
      <c r="J16" s="51">
        <f t="shared" si="4"/>
        <v>0</v>
      </c>
      <c r="K16" s="134">
        <v>80000000</v>
      </c>
      <c r="L16" s="50">
        <v>0</v>
      </c>
      <c r="M16" s="36">
        <f t="shared" si="5"/>
        <v>1</v>
      </c>
      <c r="N16" s="50">
        <f t="shared" si="6"/>
        <v>0</v>
      </c>
    </row>
    <row r="17" spans="1:14" ht="13.8" x14ac:dyDescent="0.3">
      <c r="A17" t="s">
        <v>817</v>
      </c>
      <c r="B17" s="34" t="s">
        <v>217</v>
      </c>
      <c r="C17" s="35">
        <v>330801000</v>
      </c>
      <c r="D17" s="136" t="str">
        <f t="shared" si="7"/>
        <v>0600430</v>
      </c>
      <c r="E17" s="132" t="s">
        <v>122</v>
      </c>
      <c r="F17" s="56">
        <v>0</v>
      </c>
      <c r="G17" s="50">
        <v>0</v>
      </c>
      <c r="H17" s="50">
        <v>0</v>
      </c>
      <c r="I17" s="134">
        <v>25000000</v>
      </c>
      <c r="J17" s="51">
        <f t="shared" si="4"/>
        <v>0</v>
      </c>
      <c r="K17" s="134">
        <v>25000000</v>
      </c>
      <c r="L17" s="50">
        <v>0</v>
      </c>
      <c r="M17" s="36">
        <f t="shared" si="5"/>
        <v>1</v>
      </c>
      <c r="N17" s="50">
        <f t="shared" si="6"/>
        <v>0</v>
      </c>
    </row>
    <row r="18" spans="1:14" ht="13.8" x14ac:dyDescent="0.3">
      <c r="A18" t="s">
        <v>818</v>
      </c>
      <c r="B18" s="34" t="s">
        <v>221</v>
      </c>
      <c r="C18" s="35">
        <v>330801000</v>
      </c>
      <c r="D18" s="136" t="str">
        <f t="shared" si="7"/>
        <v>0600000</v>
      </c>
      <c r="E18" s="132" t="s">
        <v>132</v>
      </c>
      <c r="F18" s="56">
        <v>0</v>
      </c>
      <c r="G18" s="50">
        <v>0</v>
      </c>
      <c r="H18" s="50">
        <v>0</v>
      </c>
      <c r="I18" s="134">
        <v>5000000</v>
      </c>
      <c r="J18" s="51">
        <f t="shared" si="4"/>
        <v>0</v>
      </c>
      <c r="K18" s="134">
        <v>5000000</v>
      </c>
      <c r="L18" s="50">
        <v>0</v>
      </c>
      <c r="M18" s="36">
        <f t="shared" si="5"/>
        <v>1</v>
      </c>
      <c r="N18" s="50">
        <f t="shared" si="6"/>
        <v>0</v>
      </c>
    </row>
    <row r="19" spans="1:14" ht="13.8" x14ac:dyDescent="0.3">
      <c r="A19" t="s">
        <v>818</v>
      </c>
      <c r="B19" s="34" t="s">
        <v>220</v>
      </c>
      <c r="C19" s="35">
        <v>330801000</v>
      </c>
      <c r="D19" s="136" t="str">
        <f t="shared" si="7"/>
        <v>0600000</v>
      </c>
      <c r="E19" s="132" t="s">
        <v>814</v>
      </c>
      <c r="F19" s="56">
        <v>0</v>
      </c>
      <c r="G19" s="50">
        <v>0</v>
      </c>
      <c r="H19" s="50">
        <v>0</v>
      </c>
      <c r="I19" s="134">
        <v>19500000</v>
      </c>
      <c r="J19" s="51">
        <f t="shared" si="4"/>
        <v>0</v>
      </c>
      <c r="K19" s="134">
        <v>19500000</v>
      </c>
      <c r="L19" s="50">
        <v>0</v>
      </c>
      <c r="M19" s="36">
        <f t="shared" si="5"/>
        <v>1</v>
      </c>
      <c r="N19" s="50">
        <f t="shared" si="6"/>
        <v>0</v>
      </c>
    </row>
    <row r="20" spans="1:14" ht="13.8" x14ac:dyDescent="0.3">
      <c r="A20" t="s">
        <v>109</v>
      </c>
      <c r="B20" s="34" t="s">
        <v>220</v>
      </c>
      <c r="C20" s="35">
        <v>330801000</v>
      </c>
      <c r="D20" s="136" t="str">
        <f t="shared" si="7"/>
        <v>0600100</v>
      </c>
      <c r="E20" s="135" t="s">
        <v>134</v>
      </c>
      <c r="F20" s="56">
        <v>0</v>
      </c>
      <c r="G20" s="50">
        <v>0</v>
      </c>
      <c r="H20" s="50">
        <v>0</v>
      </c>
      <c r="I20" s="134">
        <v>12500000</v>
      </c>
      <c r="J20" s="51">
        <f t="shared" si="4"/>
        <v>0</v>
      </c>
      <c r="K20" s="134">
        <v>12500000</v>
      </c>
      <c r="L20" s="50">
        <v>0</v>
      </c>
      <c r="M20" s="36">
        <f t="shared" si="5"/>
        <v>1</v>
      </c>
      <c r="N20" s="50">
        <f t="shared" si="6"/>
        <v>0</v>
      </c>
    </row>
    <row r="21" spans="1:14" ht="13.8" x14ac:dyDescent="0.3">
      <c r="A21" t="s">
        <v>819</v>
      </c>
      <c r="B21" s="34" t="s">
        <v>220</v>
      </c>
      <c r="C21" s="35">
        <v>330803000</v>
      </c>
      <c r="D21" s="136" t="str">
        <f t="shared" si="7"/>
        <v>0600180</v>
      </c>
      <c r="E21" s="132" t="s">
        <v>135</v>
      </c>
      <c r="F21" s="56">
        <v>0</v>
      </c>
      <c r="G21" s="50">
        <v>0</v>
      </c>
      <c r="H21" s="50">
        <v>0</v>
      </c>
      <c r="I21" s="134">
        <v>101200000</v>
      </c>
      <c r="J21" s="51">
        <f t="shared" si="4"/>
        <v>0</v>
      </c>
      <c r="K21" s="134">
        <v>101200000</v>
      </c>
      <c r="L21" s="50">
        <v>0</v>
      </c>
      <c r="M21" s="36">
        <f t="shared" si="5"/>
        <v>1</v>
      </c>
      <c r="N21" s="50">
        <f t="shared" si="6"/>
        <v>0</v>
      </c>
    </row>
    <row r="22" spans="1:14" ht="13.8" x14ac:dyDescent="0.3">
      <c r="A22" t="s">
        <v>817</v>
      </c>
      <c r="B22" s="34" t="s">
        <v>220</v>
      </c>
      <c r="C22" s="35">
        <v>330801000</v>
      </c>
      <c r="D22" s="136" t="str">
        <f t="shared" si="7"/>
        <v>0600430</v>
      </c>
      <c r="E22" s="132" t="s">
        <v>139</v>
      </c>
      <c r="F22" s="56">
        <v>0</v>
      </c>
      <c r="G22" s="50">
        <v>0</v>
      </c>
      <c r="H22" s="50">
        <v>0</v>
      </c>
      <c r="I22" s="134">
        <v>5000000</v>
      </c>
      <c r="J22" s="51">
        <f t="shared" si="4"/>
        <v>0</v>
      </c>
      <c r="K22" s="134">
        <v>5000000</v>
      </c>
      <c r="L22" s="50">
        <v>0</v>
      </c>
      <c r="M22" s="36">
        <f t="shared" si="5"/>
        <v>1</v>
      </c>
      <c r="N22" s="50">
        <f t="shared" si="6"/>
        <v>0</v>
      </c>
    </row>
    <row r="23" spans="1:14" ht="13.8" x14ac:dyDescent="0.3">
      <c r="A23" t="s">
        <v>820</v>
      </c>
      <c r="B23" s="34" t="s">
        <v>220</v>
      </c>
      <c r="C23" s="35">
        <v>330802000</v>
      </c>
      <c r="D23" s="136" t="str">
        <f t="shared" si="7"/>
        <v>0600350</v>
      </c>
      <c r="E23" s="132" t="s">
        <v>815</v>
      </c>
      <c r="F23" s="56">
        <v>0</v>
      </c>
      <c r="G23" s="50">
        <v>0</v>
      </c>
      <c r="H23" s="50">
        <v>0</v>
      </c>
      <c r="I23" s="134">
        <v>25968000</v>
      </c>
      <c r="J23" s="51">
        <f t="shared" si="4"/>
        <v>0</v>
      </c>
      <c r="K23" s="134">
        <v>25968000</v>
      </c>
      <c r="L23" s="50">
        <v>0</v>
      </c>
      <c r="M23" s="36">
        <f t="shared" si="5"/>
        <v>1</v>
      </c>
      <c r="N23" s="50">
        <f t="shared" si="6"/>
        <v>0</v>
      </c>
    </row>
    <row r="24" spans="1:14" ht="13.8" x14ac:dyDescent="0.3">
      <c r="A24" s="38" t="s">
        <v>243</v>
      </c>
      <c r="B24" s="39"/>
      <c r="C24" s="40"/>
      <c r="D24" s="41"/>
      <c r="E24" s="40"/>
      <c r="F24" s="42">
        <f t="shared" ref="F24:L24" si="8">SUM(F3:F23)</f>
        <v>0</v>
      </c>
      <c r="G24" s="42">
        <f t="shared" si="8"/>
        <v>0</v>
      </c>
      <c r="H24" s="42">
        <f t="shared" si="8"/>
        <v>0</v>
      </c>
      <c r="I24" s="42">
        <f t="shared" si="8"/>
        <v>693734326</v>
      </c>
      <c r="J24" s="42">
        <f t="shared" si="8"/>
        <v>0</v>
      </c>
      <c r="K24" s="42">
        <f t="shared" si="8"/>
        <v>693734326</v>
      </c>
      <c r="L24" s="42">
        <f t="shared" si="8"/>
        <v>0</v>
      </c>
      <c r="M24" s="43">
        <f>+K24/I24</f>
        <v>1</v>
      </c>
      <c r="N24" s="42">
        <f>SUM(N3:N23)</f>
        <v>0</v>
      </c>
    </row>
    <row r="25" spans="1:14" x14ac:dyDescent="0.25">
      <c r="A25" s="19"/>
      <c r="B25" s="19"/>
      <c r="C25" s="19"/>
      <c r="D25" s="19"/>
      <c r="E25" s="19"/>
      <c r="F25" s="19"/>
      <c r="G25" s="19"/>
      <c r="H25" s="19"/>
      <c r="I25" s="19"/>
      <c r="J25" s="19"/>
      <c r="K25" s="19"/>
      <c r="L25" s="19"/>
      <c r="M25" s="19"/>
      <c r="N25" s="19"/>
    </row>
    <row r="26" spans="1:14" x14ac:dyDescent="0.25">
      <c r="K26" s="55"/>
      <c r="M26" s="55"/>
    </row>
    <row r="28" spans="1:14" x14ac:dyDescent="0.25">
      <c r="M28" s="55"/>
    </row>
  </sheetData>
  <pageMargins left="0.7" right="0.7" top="0.75" bottom="0.75" header="0.3" footer="0.3"/>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4D692-5D83-41DC-AD5A-E7F23B13E39A}">
  <dimension ref="A1:L66"/>
  <sheetViews>
    <sheetView topLeftCell="A5" zoomScaleNormal="100" workbookViewId="0">
      <pane xSplit="6" ySplit="2" topLeftCell="G7" activePane="bottomRight" state="frozen"/>
      <selection activeCell="A5" sqref="A5"/>
      <selection pane="topRight" activeCell="G5" sqref="G5"/>
      <selection pane="bottomLeft" activeCell="A7" sqref="A7"/>
      <selection pane="bottomRight" activeCell="G15" sqref="G15"/>
    </sheetView>
  </sheetViews>
  <sheetFormatPr baseColWidth="10" defaultColWidth="11.5546875" defaultRowHeight="13.8" x14ac:dyDescent="0.3"/>
  <cols>
    <col min="1" max="1" width="21.109375" style="100" customWidth="1"/>
    <col min="2" max="2" width="5.109375" style="100" hidden="1" customWidth="1"/>
    <col min="3" max="4" width="16" style="181" customWidth="1"/>
    <col min="5" max="5" width="15" style="181" customWidth="1"/>
    <col min="6" max="6" width="11.33203125" style="145" customWidth="1"/>
    <col min="7" max="8" width="16.109375" style="181" customWidth="1"/>
    <col min="9" max="9" width="15.5546875" style="181" customWidth="1"/>
    <col min="10" max="10" width="11.88671875" style="101" bestFit="1" customWidth="1"/>
    <col min="11" max="11" width="11.88671875" style="185" bestFit="1" customWidth="1"/>
    <col min="12" max="12" width="53.88671875" style="100" customWidth="1"/>
    <col min="13" max="16384" width="11.5546875" style="100"/>
  </cols>
  <sheetData>
    <row r="1" spans="1:12" s="97" customFormat="1" ht="16.5" customHeight="1" x14ac:dyDescent="0.25">
      <c r="A1" s="575" t="s">
        <v>254</v>
      </c>
      <c r="B1" s="575"/>
      <c r="C1" s="575"/>
      <c r="D1" s="575"/>
      <c r="E1" s="575"/>
      <c r="F1" s="575"/>
      <c r="G1" s="575"/>
      <c r="H1" s="575"/>
      <c r="I1" s="575"/>
      <c r="J1" s="575"/>
      <c r="K1" s="575"/>
      <c r="L1" s="575"/>
    </row>
    <row r="2" spans="1:12" s="97" customFormat="1" ht="16.5" customHeight="1" x14ac:dyDescent="0.25">
      <c r="A2" s="576" t="s">
        <v>770</v>
      </c>
      <c r="B2" s="576"/>
      <c r="C2" s="576"/>
      <c r="D2" s="576"/>
      <c r="E2" s="576"/>
      <c r="F2" s="576"/>
      <c r="G2" s="576"/>
      <c r="H2" s="576"/>
      <c r="I2" s="576"/>
      <c r="J2" s="576"/>
      <c r="K2" s="576"/>
      <c r="L2" s="576"/>
    </row>
    <row r="3" spans="1:12" s="97" customFormat="1" ht="16.5" customHeight="1" x14ac:dyDescent="0.25">
      <c r="A3" s="577" t="s">
        <v>998</v>
      </c>
      <c r="B3" s="577"/>
      <c r="C3" s="577"/>
      <c r="D3" s="577"/>
      <c r="E3" s="577"/>
      <c r="F3" s="577"/>
      <c r="G3" s="577"/>
      <c r="H3" s="577"/>
      <c r="I3" s="577"/>
      <c r="J3" s="577"/>
      <c r="K3" s="577"/>
      <c r="L3" s="577"/>
    </row>
    <row r="4" spans="1:12" s="97" customFormat="1" ht="9" customHeight="1" x14ac:dyDescent="0.25">
      <c r="A4" s="92"/>
      <c r="B4" s="92"/>
      <c r="C4" s="171"/>
      <c r="D4" s="171"/>
      <c r="E4" s="171"/>
      <c r="F4" s="138"/>
      <c r="G4" s="171"/>
      <c r="H4" s="171"/>
      <c r="I4" s="171"/>
      <c r="J4" s="98"/>
      <c r="K4" s="184"/>
      <c r="L4" s="99"/>
    </row>
    <row r="5" spans="1:12" s="129" customFormat="1" ht="18" customHeight="1" x14ac:dyDescent="0.25">
      <c r="A5" s="578" t="s">
        <v>771</v>
      </c>
      <c r="B5" s="578" t="s">
        <v>782</v>
      </c>
      <c r="C5" s="579">
        <v>2020</v>
      </c>
      <c r="D5" s="579"/>
      <c r="E5" s="579"/>
      <c r="F5" s="579"/>
      <c r="G5" s="579">
        <v>2021</v>
      </c>
      <c r="H5" s="579"/>
      <c r="I5" s="579"/>
      <c r="J5" s="579"/>
      <c r="K5" s="580" t="s">
        <v>772</v>
      </c>
      <c r="L5" s="581" t="s">
        <v>773</v>
      </c>
    </row>
    <row r="6" spans="1:12" s="183" customFormat="1" ht="35.25" customHeight="1" x14ac:dyDescent="0.25">
      <c r="A6" s="578"/>
      <c r="B6" s="578"/>
      <c r="C6" s="130" t="s">
        <v>774</v>
      </c>
      <c r="D6" s="130" t="s">
        <v>775</v>
      </c>
      <c r="E6" s="130" t="s">
        <v>776</v>
      </c>
      <c r="F6" s="170" t="s">
        <v>777</v>
      </c>
      <c r="G6" s="130" t="s">
        <v>778</v>
      </c>
      <c r="H6" s="130" t="s">
        <v>779</v>
      </c>
      <c r="I6" s="130" t="s">
        <v>776</v>
      </c>
      <c r="J6" s="170" t="s">
        <v>777</v>
      </c>
      <c r="K6" s="580"/>
      <c r="L6" s="581"/>
    </row>
    <row r="7" spans="1:12" s="105" customFormat="1" x14ac:dyDescent="0.3">
      <c r="A7" s="104" t="s">
        <v>611</v>
      </c>
      <c r="B7" s="104"/>
      <c r="C7" s="172">
        <f>C8</f>
        <v>4859510000</v>
      </c>
      <c r="D7" s="172">
        <f t="shared" ref="D7:I7" si="0">D8</f>
        <v>4859510000</v>
      </c>
      <c r="E7" s="172">
        <f t="shared" si="0"/>
        <v>4207301704</v>
      </c>
      <c r="F7" s="139">
        <f>IF(E7,E7/D7,0)</f>
        <v>0.86578723039977279</v>
      </c>
      <c r="G7" s="172">
        <f t="shared" si="0"/>
        <v>5183253938</v>
      </c>
      <c r="H7" s="172">
        <f t="shared" si="0"/>
        <v>5113253938</v>
      </c>
      <c r="I7" s="172">
        <f t="shared" si="0"/>
        <v>4457084970</v>
      </c>
      <c r="J7" s="112">
        <f>IF(I7,I7/H7,0)</f>
        <v>0.87167291592471663</v>
      </c>
      <c r="K7" s="112">
        <f>(I7-E7)/E7</f>
        <v>5.936899313936151E-2</v>
      </c>
      <c r="L7" s="113"/>
    </row>
    <row r="8" spans="1:12" s="105" customFormat="1" x14ac:dyDescent="0.3">
      <c r="A8" s="104" t="s">
        <v>612</v>
      </c>
      <c r="B8" s="104"/>
      <c r="C8" s="172">
        <f>SUM(C9:C25)</f>
        <v>4859510000</v>
      </c>
      <c r="D8" s="172">
        <f t="shared" ref="D8:I8" si="1">SUM(D9:D25)</f>
        <v>4859510000</v>
      </c>
      <c r="E8" s="172">
        <f t="shared" si="1"/>
        <v>4207301704</v>
      </c>
      <c r="F8" s="139">
        <f t="shared" ref="F8:F66" si="2">IF(E8,E8/D8,0)</f>
        <v>0.86578723039977279</v>
      </c>
      <c r="G8" s="172">
        <f t="shared" si="1"/>
        <v>5183253938</v>
      </c>
      <c r="H8" s="172">
        <f t="shared" si="1"/>
        <v>5113253938</v>
      </c>
      <c r="I8" s="172">
        <f t="shared" si="1"/>
        <v>4457084970</v>
      </c>
      <c r="J8" s="110">
        <f t="shared" ref="J8" si="3">I8/H8</f>
        <v>0.87167291592471663</v>
      </c>
      <c r="K8" s="140">
        <f t="shared" ref="K8:K64" si="4">(I8-E8)/E8</f>
        <v>5.936899313936151E-2</v>
      </c>
      <c r="L8" s="113"/>
    </row>
    <row r="9" spans="1:12" x14ac:dyDescent="0.3">
      <c r="A9" s="93" t="s">
        <v>525</v>
      </c>
      <c r="B9" s="93" t="s">
        <v>526</v>
      </c>
      <c r="C9" s="173">
        <f>gas_2019_2020!F10</f>
        <v>2800000000</v>
      </c>
      <c r="D9" s="173">
        <f>gas_2019_2020!G10</f>
        <v>2800000000</v>
      </c>
      <c r="E9" s="173">
        <f>gas_2019_2020!H10</f>
        <v>2582484636</v>
      </c>
      <c r="F9" s="140">
        <f t="shared" si="2"/>
        <v>0.92231594142857143</v>
      </c>
      <c r="G9" s="173">
        <f>SUMIFS(vigencia!$G:$G,vigencia!$A:$A,comparativo_g!$A9,vigencia!$E:$E,comparativo_g!$B9)</f>
        <v>2959228126</v>
      </c>
      <c r="H9" s="173">
        <f>SUMIFS(vigencia!$L:$L,vigencia!$A:$A,comparativo_g!$A9,vigencia!$E:$E,comparativo_g!$B9)</f>
        <v>2889228126</v>
      </c>
      <c r="I9" s="173">
        <f>SUMIFS(vigencia!$N:$N,vigencia!$A:$A,comparativo_g!$A9,vigencia!$E:$E,comparativo_g!$B9)</f>
        <v>2513047313</v>
      </c>
      <c r="J9" s="110">
        <f>I9/H9</f>
        <v>0.86979885402098567</v>
      </c>
      <c r="K9" s="140">
        <f t="shared" si="4"/>
        <v>-2.6887797136153031E-2</v>
      </c>
      <c r="L9" s="111"/>
    </row>
    <row r="10" spans="1:12" x14ac:dyDescent="0.3">
      <c r="A10" s="93" t="s">
        <v>527</v>
      </c>
      <c r="B10" s="93" t="s">
        <v>528</v>
      </c>
      <c r="C10" s="173">
        <f>gas_2019_2020!F11</f>
        <v>35000000</v>
      </c>
      <c r="D10" s="173">
        <f>gas_2019_2020!G11</f>
        <v>35000000</v>
      </c>
      <c r="E10" s="173">
        <f>gas_2019_2020!H11</f>
        <v>5295610</v>
      </c>
      <c r="F10" s="140">
        <f t="shared" si="2"/>
        <v>0.15130314285714286</v>
      </c>
      <c r="G10" s="173">
        <f>SUMIFS(vigencia!$G:$G,vigencia!$A:$A,comparativo_g!$A10,vigencia!$E:$E,comparativo_g!$B10)</f>
        <v>48580516</v>
      </c>
      <c r="H10" s="173">
        <f>SUMIFS(vigencia!$L:$L,vigencia!$A:$A,comparativo_g!$A10,vigencia!$E:$E,comparativo_g!$B10)</f>
        <v>48580516</v>
      </c>
      <c r="I10" s="173">
        <f>SUMIFS(vigencia!$N:$N,vigencia!$A:$A,comparativo_g!$A10,vigencia!$E:$E,comparativo_g!$B10)</f>
        <v>16427205</v>
      </c>
      <c r="J10" s="110">
        <f t="shared" ref="J10:J43" si="5">I10/H10</f>
        <v>0.33814389703065317</v>
      </c>
      <c r="K10" s="140">
        <f t="shared" si="4"/>
        <v>2.1020420688079371</v>
      </c>
      <c r="L10" s="111" t="s">
        <v>977</v>
      </c>
    </row>
    <row r="11" spans="1:12" x14ac:dyDescent="0.3">
      <c r="A11" s="93" t="s">
        <v>529</v>
      </c>
      <c r="B11" s="93" t="s">
        <v>530</v>
      </c>
      <c r="C11" s="173">
        <f>gas_2019_2020!F13</f>
        <v>450000</v>
      </c>
      <c r="D11" s="173">
        <f>gas_2019_2020!G13</f>
        <v>450000</v>
      </c>
      <c r="E11" s="173">
        <f>gas_2019_2020!H13</f>
        <v>339600</v>
      </c>
      <c r="F11" s="140">
        <f t="shared" si="2"/>
        <v>0.75466666666666671</v>
      </c>
      <c r="G11" s="173">
        <f>SUMIFS(vigencia!$G:$G,vigencia!$A:$A,comparativo_g!$A11,vigencia!$E:$E,comparativo_g!$B11)</f>
        <v>367200</v>
      </c>
      <c r="H11" s="173">
        <f>SUMIFS(vigencia!$L:$L,vigencia!$A:$A,comparativo_g!$A11,vigencia!$E:$E,comparativo_g!$B11)</f>
        <v>367200</v>
      </c>
      <c r="I11" s="173">
        <f>SUMIFS(vigencia!$N:$N,vigencia!$A:$A,comparativo_g!$A11,vigencia!$E:$E,comparativo_g!$B11)</f>
        <v>345000</v>
      </c>
      <c r="J11" s="110">
        <f t="shared" si="5"/>
        <v>0.93954248366013071</v>
      </c>
      <c r="K11" s="140">
        <f t="shared" si="4"/>
        <v>1.5901060070671377E-2</v>
      </c>
      <c r="L11" s="111"/>
    </row>
    <row r="12" spans="1:12" x14ac:dyDescent="0.3">
      <c r="A12" s="93" t="s">
        <v>531</v>
      </c>
      <c r="B12" s="93" t="s">
        <v>532</v>
      </c>
      <c r="C12" s="173">
        <v>113602678</v>
      </c>
      <c r="D12" s="173">
        <v>113602678</v>
      </c>
      <c r="E12" s="505">
        <v>99952468</v>
      </c>
      <c r="F12" s="140">
        <f t="shared" si="2"/>
        <v>0.87984253328957618</v>
      </c>
      <c r="G12" s="173">
        <f>SUMIFS(vigencia!$G:$G,vigencia!$A:$A,comparativo_g!$A12,vigencia!$E:$E,comparativo_g!$B12)</f>
        <v>125081046</v>
      </c>
      <c r="H12" s="173">
        <f>SUMIFS(vigencia!$L:$L,vigencia!$A:$A,comparativo_g!$A12,vigencia!$E:$E,comparativo_g!$B12)</f>
        <v>125081046</v>
      </c>
      <c r="I12" s="173">
        <f>SUMIFS(vigencia!$N:$N,vigencia!$A:$A,comparativo_g!$A12,vigencia!$E:$E,comparativo_g!$B12)</f>
        <v>116234892</v>
      </c>
      <c r="J12" s="110">
        <f t="shared" si="5"/>
        <v>0.92927662277464484</v>
      </c>
      <c r="K12" s="140">
        <f t="shared" si="4"/>
        <v>0.16290167042198497</v>
      </c>
      <c r="L12" s="111"/>
    </row>
    <row r="13" spans="1:12" x14ac:dyDescent="0.3">
      <c r="A13" s="93" t="s">
        <v>533</v>
      </c>
      <c r="B13" s="93" t="s">
        <v>534</v>
      </c>
      <c r="C13" s="173">
        <v>76534664</v>
      </c>
      <c r="D13" s="173">
        <v>76534664</v>
      </c>
      <c r="E13" s="505">
        <v>68018127</v>
      </c>
      <c r="F13" s="140">
        <f t="shared" si="2"/>
        <v>0.88872314118998419</v>
      </c>
      <c r="G13" s="173">
        <f>SUMIFS(vigencia!$G:$G,vigencia!$A:$A,comparativo_g!$A13,vigencia!$E:$E,comparativo_g!$B13)</f>
        <v>86363745</v>
      </c>
      <c r="H13" s="173">
        <f>SUMIFS(vigencia!$L:$L,vigencia!$A:$A,comparativo_g!$A13,vigencia!$E:$E,comparativo_g!$B13)</f>
        <v>86363745</v>
      </c>
      <c r="I13" s="173">
        <f>SUMIFS(vigencia!$N:$N,vigencia!$A:$A,comparativo_g!$A13,vigencia!$E:$E,comparativo_g!$B13)</f>
        <v>77827488</v>
      </c>
      <c r="J13" s="110">
        <f t="shared" si="5"/>
        <v>0.90115925380493866</v>
      </c>
      <c r="K13" s="140">
        <f t="shared" si="4"/>
        <v>0.14421686442497894</v>
      </c>
      <c r="L13" s="111"/>
    </row>
    <row r="14" spans="1:12" x14ac:dyDescent="0.3">
      <c r="A14" s="93" t="s">
        <v>535</v>
      </c>
      <c r="B14" s="93" t="s">
        <v>536</v>
      </c>
      <c r="C14" s="173">
        <v>269501873</v>
      </c>
      <c r="D14" s="173">
        <v>269501873</v>
      </c>
      <c r="E14" s="505">
        <v>229955448</v>
      </c>
      <c r="F14" s="140">
        <f t="shared" si="2"/>
        <v>0.85326103837504685</v>
      </c>
      <c r="G14" s="173">
        <f>SUMIFS(vigencia!$G:$G,vigencia!$A:$A,comparativo_g!$A14,vigencia!$E:$E,comparativo_g!$B14)</f>
        <v>273073936</v>
      </c>
      <c r="H14" s="173">
        <f>SUMIFS(vigencia!$L:$L,vigencia!$A:$A,comparativo_g!$A14,vigencia!$E:$E,comparativo_g!$B14)</f>
        <v>273073936</v>
      </c>
      <c r="I14" s="173">
        <f>SUMIFS(vigencia!$N:$N,vigencia!$A:$A,comparativo_g!$A14,vigencia!$E:$E,comparativo_g!$B14)</f>
        <v>251001407</v>
      </c>
      <c r="J14" s="110">
        <f t="shared" si="5"/>
        <v>0.91917013639851741</v>
      </c>
      <c r="K14" s="140">
        <f t="shared" si="4"/>
        <v>9.152189775473378E-2</v>
      </c>
      <c r="L14" s="111"/>
    </row>
    <row r="15" spans="1:12" x14ac:dyDescent="0.3">
      <c r="A15" s="93" t="s">
        <v>537</v>
      </c>
      <c r="B15" s="93" t="s">
        <v>538</v>
      </c>
      <c r="C15" s="173">
        <v>67635479</v>
      </c>
      <c r="D15" s="173">
        <v>67635479</v>
      </c>
      <c r="E15" s="505">
        <v>61929922</v>
      </c>
      <c r="F15" s="140">
        <f t="shared" si="2"/>
        <v>0.91564254316880056</v>
      </c>
      <c r="G15" s="173">
        <f>SUMIFS(vigencia!$G:$G,vigencia!$A:$A,comparativo_g!$A15,vigencia!$E:$E,comparativo_g!$B15)</f>
        <v>153771113</v>
      </c>
      <c r="H15" s="173">
        <f>SUMIFS(vigencia!$L:$L,vigencia!$A:$A,comparativo_g!$A15,vigencia!$E:$E,comparativo_g!$B15)</f>
        <v>153771113</v>
      </c>
      <c r="I15" s="173">
        <f>SUMIFS(vigencia!$N:$N,vigencia!$A:$A,comparativo_g!$A15,vigencia!$E:$E,comparativo_g!$B15)</f>
        <v>125956486</v>
      </c>
      <c r="J15" s="110">
        <f t="shared" si="5"/>
        <v>0.8191166958647168</v>
      </c>
      <c r="K15" s="140">
        <f t="shared" si="4"/>
        <v>1.033855072512444</v>
      </c>
      <c r="L15" s="111" t="s">
        <v>978</v>
      </c>
    </row>
    <row r="16" spans="1:12" x14ac:dyDescent="0.3">
      <c r="A16" s="93" t="s">
        <v>539</v>
      </c>
      <c r="B16" s="93" t="s">
        <v>540</v>
      </c>
      <c r="C16" s="173">
        <f>gas_2019_2020!F18+gas_2019_2020!F21</f>
        <v>388000000</v>
      </c>
      <c r="D16" s="173">
        <f>gas_2019_2020!G18+gas_2019_2020!G21</f>
        <v>388000000</v>
      </c>
      <c r="E16" s="173">
        <f>gas_2019_2020!H18+gas_2019_2020!H21</f>
        <v>316757325</v>
      </c>
      <c r="F16" s="140">
        <f t="shared" si="2"/>
        <v>0.81638485824742268</v>
      </c>
      <c r="G16" s="173">
        <f>SUMIFS(vigencia!$G:$G,vigencia!$A:$A,comparativo_g!$A16,vigencia!$E:$E,comparativo_g!$B16)</f>
        <v>388950420</v>
      </c>
      <c r="H16" s="173">
        <f>SUMIFS(vigencia!$L:$L,vigencia!$A:$A,comparativo_g!$A16,vigencia!$E:$E,comparativo_g!$B16)</f>
        <v>388950420</v>
      </c>
      <c r="I16" s="173">
        <f>SUMIFS(vigencia!$N:$N,vigencia!$A:$A,comparativo_g!$A16,vigencia!$E:$E,comparativo_g!$B16)</f>
        <v>335380139</v>
      </c>
      <c r="J16" s="110">
        <f t="shared" si="5"/>
        <v>0.86226964094806735</v>
      </c>
      <c r="K16" s="140">
        <f t="shared" si="4"/>
        <v>5.8792054769372736E-2</v>
      </c>
      <c r="L16" s="111"/>
    </row>
    <row r="17" spans="1:12" x14ac:dyDescent="0.3">
      <c r="A17" s="93" t="s">
        <v>541</v>
      </c>
      <c r="B17" s="93" t="s">
        <v>542</v>
      </c>
      <c r="C17" s="173">
        <f>gas_2019_2020!F20</f>
        <v>270000000</v>
      </c>
      <c r="D17" s="173">
        <f>gas_2019_2020!G20</f>
        <v>270000000</v>
      </c>
      <c r="E17" s="173">
        <f>gas_2019_2020!H20</f>
        <v>224378844</v>
      </c>
      <c r="F17" s="140">
        <f t="shared" si="2"/>
        <v>0.83103275555555556</v>
      </c>
      <c r="G17" s="173">
        <f>SUMIFS(vigencia!$G:$G,vigencia!$A:$A,comparativo_g!$A17,vigencia!$E:$E,comparativo_g!$B17)</f>
        <v>275506548</v>
      </c>
      <c r="H17" s="173">
        <f>SUMIFS(vigencia!$L:$L,vigencia!$A:$A,comparativo_g!$A17,vigencia!$E:$E,comparativo_g!$B17)</f>
        <v>275506548</v>
      </c>
      <c r="I17" s="173">
        <f>SUMIFS(vigencia!$N:$N,vigencia!$A:$A,comparativo_g!$A17,vigencia!$E:$E,comparativo_g!$B17)</f>
        <v>237576175</v>
      </c>
      <c r="J17" s="110">
        <f t="shared" si="5"/>
        <v>0.86232496731801811</v>
      </c>
      <c r="K17" s="140">
        <f t="shared" si="4"/>
        <v>5.8817180642930844E-2</v>
      </c>
      <c r="L17" s="111"/>
    </row>
    <row r="18" spans="1:12" x14ac:dyDescent="0.3">
      <c r="A18" s="93" t="s">
        <v>543</v>
      </c>
      <c r="B18" s="93" t="s">
        <v>544</v>
      </c>
      <c r="C18" s="173">
        <f>gas_2019_2020!F22+gas_2019_2020!F26</f>
        <v>350000000</v>
      </c>
      <c r="D18" s="173">
        <f>gas_2019_2020!G22+gas_2019_2020!G26</f>
        <v>350000000</v>
      </c>
      <c r="E18" s="173">
        <f>gas_2019_2020!H22+gas_2019_2020!H26</f>
        <v>294976941</v>
      </c>
      <c r="F18" s="140">
        <f t="shared" si="2"/>
        <v>0.84279126000000004</v>
      </c>
      <c r="G18" s="173">
        <f>SUMIFS(vigencia!$G:$G,vigencia!$A:$A,comparativo_g!$A18,vigencia!$E:$E,comparativo_g!$B18)</f>
        <v>263138813</v>
      </c>
      <c r="H18" s="173">
        <f>SUMIFS(vigencia!$L:$L,vigencia!$A:$A,comparativo_g!$A18,vigencia!$E:$E,comparativo_g!$B18)</f>
        <v>263138813</v>
      </c>
      <c r="I18" s="173">
        <f>SUMIFS(vigencia!$N:$N,vigencia!$A:$A,comparativo_g!$A18,vigencia!$E:$E,comparativo_g!$B18)</f>
        <v>263138813</v>
      </c>
      <c r="J18" s="110">
        <f t="shared" si="5"/>
        <v>1</v>
      </c>
      <c r="K18" s="196">
        <f t="shared" si="4"/>
        <v>-0.10793429443015344</v>
      </c>
      <c r="L18" s="111"/>
    </row>
    <row r="19" spans="1:12" x14ac:dyDescent="0.3">
      <c r="A19" s="93" t="s">
        <v>545</v>
      </c>
      <c r="B19" s="93" t="s">
        <v>546</v>
      </c>
      <c r="C19" s="173">
        <f>gas_2019_2020!F25</f>
        <v>136000000</v>
      </c>
      <c r="D19" s="173">
        <f>gas_2019_2020!G25</f>
        <v>136000000</v>
      </c>
      <c r="E19" s="173">
        <f>gas_2019_2020!H25</f>
        <v>110359300</v>
      </c>
      <c r="F19" s="140">
        <f t="shared" si="2"/>
        <v>0.81146544117647057</v>
      </c>
      <c r="G19" s="173">
        <f>SUMIFS(vigencia!$G:$G,vigencia!$A:$A,comparativo_g!$A19,vigencia!$E:$E,comparativo_g!$B19)</f>
        <v>139546403</v>
      </c>
      <c r="H19" s="173">
        <f>SUMIFS(vigencia!$L:$L,vigencia!$A:$A,comparativo_g!$A19,vigencia!$E:$E,comparativo_g!$B19)</f>
        <v>139546403</v>
      </c>
      <c r="I19" s="173">
        <f>SUMIFS(vigencia!$N:$N,vigencia!$A:$A,comparativo_g!$A19,vigencia!$E:$E,comparativo_g!$B19)</f>
        <v>120732700</v>
      </c>
      <c r="J19" s="110">
        <f t="shared" si="5"/>
        <v>0.86517959190965321</v>
      </c>
      <c r="K19" s="140">
        <f t="shared" si="4"/>
        <v>9.3996609257217104E-2</v>
      </c>
      <c r="L19" s="111"/>
    </row>
    <row r="20" spans="1:12" x14ac:dyDescent="0.3">
      <c r="A20" s="93" t="s">
        <v>547</v>
      </c>
      <c r="B20" s="93" t="s">
        <v>548</v>
      </c>
      <c r="C20" s="173">
        <f>gas_2019_2020!F19</f>
        <v>75000000</v>
      </c>
      <c r="D20" s="173">
        <f>gas_2019_2020!G19</f>
        <v>75000000</v>
      </c>
      <c r="E20" s="173">
        <f>gas_2019_2020!H19</f>
        <v>62104300</v>
      </c>
      <c r="F20" s="140">
        <f t="shared" si="2"/>
        <v>0.82805733333333331</v>
      </c>
      <c r="G20" s="173">
        <f>SUMIFS(vigencia!$G:$G,vigencia!$A:$A,comparativo_g!$A20,vigencia!$E:$E,comparativo_g!$B20)</f>
        <v>78956935</v>
      </c>
      <c r="H20" s="173">
        <f>SUMIFS(vigencia!$L:$L,vigencia!$A:$A,comparativo_g!$A20,vigencia!$E:$E,comparativo_g!$B20)</f>
        <v>78956935</v>
      </c>
      <c r="I20" s="173">
        <f>SUMIFS(vigencia!$N:$N,vigencia!$A:$A,comparativo_g!$A20,vigencia!$E:$E,comparativo_g!$B20)</f>
        <v>62620000</v>
      </c>
      <c r="J20" s="110">
        <f t="shared" si="5"/>
        <v>0.79309056259592647</v>
      </c>
      <c r="K20" s="140">
        <f t="shared" si="4"/>
        <v>8.3037728466466895E-3</v>
      </c>
      <c r="L20" s="111"/>
    </row>
    <row r="21" spans="1:12" x14ac:dyDescent="0.3">
      <c r="A21" s="93" t="s">
        <v>549</v>
      </c>
      <c r="B21" s="93" t="s">
        <v>550</v>
      </c>
      <c r="C21" s="173">
        <f>gas_2019_2020!F24</f>
        <v>97060000</v>
      </c>
      <c r="D21" s="173">
        <f>gas_2019_2020!G24</f>
        <v>97060000</v>
      </c>
      <c r="E21" s="173">
        <f>gas_2019_2020!H24</f>
        <v>82774300</v>
      </c>
      <c r="F21" s="140">
        <f t="shared" si="2"/>
        <v>0.85281578405110237</v>
      </c>
      <c r="G21" s="173">
        <f>SUMIFS(vigencia!$G:$G,vigencia!$A:$A,comparativo_g!$A21,vigencia!$E:$E,comparativo_g!$B21)</f>
        <v>104659802</v>
      </c>
      <c r="H21" s="173">
        <f>SUMIFS(vigencia!$L:$L,vigencia!$A:$A,comparativo_g!$A21,vigencia!$E:$E,comparativo_g!$B21)</f>
        <v>104659802</v>
      </c>
      <c r="I21" s="173">
        <f>SUMIFS(vigencia!$N:$N,vigencia!$A:$A,comparativo_g!$A21,vigencia!$E:$E,comparativo_g!$B21)</f>
        <v>90562200</v>
      </c>
      <c r="J21" s="110">
        <f t="shared" si="5"/>
        <v>0.86530070064531561</v>
      </c>
      <c r="K21" s="140">
        <f t="shared" si="4"/>
        <v>9.4085966296302115E-2</v>
      </c>
      <c r="L21" s="111"/>
    </row>
    <row r="22" spans="1:12" x14ac:dyDescent="0.3">
      <c r="A22" s="93" t="s">
        <v>551</v>
      </c>
      <c r="B22" s="93" t="s">
        <v>552</v>
      </c>
      <c r="C22" s="173">
        <f>gas_2019_2020!F23</f>
        <v>67000000</v>
      </c>
      <c r="D22" s="173">
        <f>gas_2019_2020!G23</f>
        <v>67000000</v>
      </c>
      <c r="E22" s="173">
        <f>gas_2019_2020!H23</f>
        <v>55198100</v>
      </c>
      <c r="F22" s="140">
        <f t="shared" si="2"/>
        <v>0.82385223880597014</v>
      </c>
      <c r="G22" s="173">
        <f>SUMIFS(vigencia!$G:$G,vigencia!$A:$A,comparativo_g!$A22,vigencia!$E:$E,comparativo_g!$B22)</f>
        <v>69773202</v>
      </c>
      <c r="H22" s="173">
        <f>SUMIFS(vigencia!$L:$L,vigencia!$A:$A,comparativo_g!$A22,vigencia!$E:$E,comparativo_g!$B22)</f>
        <v>69773202</v>
      </c>
      <c r="I22" s="173">
        <f>SUMIFS(vigencia!$N:$N,vigencia!$A:$A,comparativo_g!$A22,vigencia!$E:$E,comparativo_g!$B22)</f>
        <v>60385100</v>
      </c>
      <c r="J22" s="110">
        <f t="shared" si="5"/>
        <v>0.86544831352300555</v>
      </c>
      <c r="K22" s="140">
        <f t="shared" si="4"/>
        <v>9.3970625800525745E-2</v>
      </c>
      <c r="L22" s="111"/>
    </row>
    <row r="23" spans="1:12" x14ac:dyDescent="0.3">
      <c r="A23" s="93" t="s">
        <v>553</v>
      </c>
      <c r="B23" s="93" t="s">
        <v>554</v>
      </c>
      <c r="C23" s="173">
        <v>99314026</v>
      </c>
      <c r="D23" s="173">
        <v>99314026</v>
      </c>
      <c r="E23" s="505">
        <f>5094896-914</f>
        <v>5093982</v>
      </c>
      <c r="F23" s="140">
        <f t="shared" si="2"/>
        <v>5.1291667503238665E-2</v>
      </c>
      <c r="G23" s="173">
        <f>SUMIFS(vigencia!$G:$G,vigencia!$A:$A,comparativo_g!$A23,vigencia!$E:$E,comparativo_g!$B23)</f>
        <v>174462375</v>
      </c>
      <c r="H23" s="173">
        <f>SUMIFS(vigencia!$L:$L,vigencia!$A:$A,comparativo_g!$A23,vigencia!$E:$E,comparativo_g!$B23)</f>
        <v>174462375</v>
      </c>
      <c r="I23" s="173">
        <f>SUMIFS(vigencia!$N:$N,vigencia!$A:$A,comparativo_g!$A23,vigencia!$E:$E,comparativo_g!$B23)</f>
        <v>170098212</v>
      </c>
      <c r="J23" s="110">
        <f t="shared" si="5"/>
        <v>0.97498507629510378</v>
      </c>
      <c r="K23" s="140">
        <f t="shared" si="4"/>
        <v>32.391993140140663</v>
      </c>
      <c r="L23" s="111" t="s">
        <v>978</v>
      </c>
    </row>
    <row r="24" spans="1:12" x14ac:dyDescent="0.3">
      <c r="A24" s="93" t="s">
        <v>555</v>
      </c>
      <c r="B24" s="93" t="s">
        <v>556</v>
      </c>
      <c r="C24" s="173">
        <f>gas_2019_2020!F15</f>
        <v>6000000</v>
      </c>
      <c r="D24" s="173">
        <f>gas_2019_2020!G15</f>
        <v>6000000</v>
      </c>
      <c r="E24" s="173">
        <v>0</v>
      </c>
      <c r="F24" s="140">
        <f t="shared" si="2"/>
        <v>0</v>
      </c>
      <c r="G24" s="173">
        <f>SUMIFS(vigencia!$G:$G,vigencia!$A:$A,comparativo_g!$A24,vigencia!$E:$E,comparativo_g!$B24)</f>
        <v>7000000</v>
      </c>
      <c r="H24" s="173">
        <f>SUMIFS(vigencia!$L:$L,vigencia!$A:$A,comparativo_g!$A24,vigencia!$E:$E,comparativo_g!$B24)</f>
        <v>7000000</v>
      </c>
      <c r="I24" s="173">
        <f>SUMIFS(vigencia!$N:$N,vigencia!$A:$A,comparativo_g!$A24,vigencia!$E:$E,comparativo_g!$B24)</f>
        <v>0</v>
      </c>
      <c r="J24" s="110">
        <f t="shared" si="5"/>
        <v>0</v>
      </c>
      <c r="K24" s="196" t="e">
        <f t="shared" si="4"/>
        <v>#DIV/0!</v>
      </c>
      <c r="L24" s="111"/>
    </row>
    <row r="25" spans="1:12" x14ac:dyDescent="0.3">
      <c r="A25" s="93" t="s">
        <v>557</v>
      </c>
      <c r="B25" s="93" t="s">
        <v>558</v>
      </c>
      <c r="C25" s="173">
        <v>8411280</v>
      </c>
      <c r="D25" s="173">
        <v>8411280</v>
      </c>
      <c r="E25" s="505">
        <v>7682801</v>
      </c>
      <c r="F25" s="140">
        <f t="shared" si="2"/>
        <v>0.9133926108749203</v>
      </c>
      <c r="G25" s="173">
        <f>SUMIFS(vigencia!$G:$G,vigencia!$A:$A,comparativo_g!$A25,vigencia!$E:$E,comparativo_g!$B25)</f>
        <v>34793758</v>
      </c>
      <c r="H25" s="173">
        <f>SUMIFS(vigencia!$L:$L,vigencia!$A:$A,comparativo_g!$A25,vigencia!$E:$E,comparativo_g!$B25)</f>
        <v>34793758</v>
      </c>
      <c r="I25" s="173">
        <f>SUMIFS(vigencia!$N:$N,vigencia!$A:$A,comparativo_g!$A25,vigencia!$E:$E,comparativo_g!$B25)</f>
        <v>15751840</v>
      </c>
      <c r="J25" s="110">
        <f t="shared" si="5"/>
        <v>0.4527202839083953</v>
      </c>
      <c r="K25" s="140">
        <f t="shared" si="4"/>
        <v>1.0502730709802324</v>
      </c>
      <c r="L25" s="111" t="s">
        <v>978</v>
      </c>
    </row>
    <row r="26" spans="1:12" s="105" customFormat="1" x14ac:dyDescent="0.3">
      <c r="A26" s="104" t="s">
        <v>606</v>
      </c>
      <c r="B26" s="104"/>
      <c r="C26" s="172">
        <f>SUM(C27:C30)</f>
        <v>1941727298</v>
      </c>
      <c r="D26" s="172">
        <f t="shared" ref="D26:I26" si="6">SUM(D27:D30)</f>
        <v>1936734583</v>
      </c>
      <c r="E26" s="172">
        <f t="shared" si="6"/>
        <v>1105326945</v>
      </c>
      <c r="F26" s="139">
        <f t="shared" si="2"/>
        <v>0.57071679036569356</v>
      </c>
      <c r="G26" s="172">
        <f t="shared" si="6"/>
        <v>2054713617</v>
      </c>
      <c r="H26" s="172">
        <f t="shared" si="6"/>
        <v>2124713617</v>
      </c>
      <c r="I26" s="172">
        <f t="shared" si="6"/>
        <v>1677015949</v>
      </c>
      <c r="J26" s="112">
        <f t="shared" si="5"/>
        <v>0.78929034745297633</v>
      </c>
      <c r="K26" s="140">
        <f t="shared" si="4"/>
        <v>0.51721258274401338</v>
      </c>
      <c r="L26" s="113"/>
    </row>
    <row r="27" spans="1:12" x14ac:dyDescent="0.3">
      <c r="A27" s="93" t="s">
        <v>559</v>
      </c>
      <c r="B27" s="93" t="s">
        <v>560</v>
      </c>
      <c r="C27" s="173">
        <f>gas_2019_2020!F29+gas_2019_2020!F30</f>
        <v>25990000</v>
      </c>
      <c r="D27" s="173">
        <f>gas_2019_2020!G29+gas_2019_2020!G30</f>
        <v>25990000</v>
      </c>
      <c r="E27" s="173">
        <f>gas_2019_2020!H29+gas_2019_2020!H30</f>
        <v>20390926</v>
      </c>
      <c r="F27" s="140">
        <f t="shared" si="2"/>
        <v>0.78456814159292032</v>
      </c>
      <c r="G27" s="173">
        <f>SUMIFS(vigencia!$G:$G,vigencia!$A:$A,comparativo_g!$A27,vigencia!$E:$E,comparativo_g!$B27)</f>
        <v>53560000</v>
      </c>
      <c r="H27" s="173">
        <f>SUMIFS(vigencia!$L:$L,vigencia!$A:$A,comparativo_g!$A27,vigencia!$E:$E,comparativo_g!$B27)</f>
        <v>83560000</v>
      </c>
      <c r="I27" s="173">
        <f>SUMIFS(vigencia!$N:$N,vigencia!$A:$A,comparativo_g!$A27,vigencia!$E:$E,comparativo_g!$B27)</f>
        <v>61172396</v>
      </c>
      <c r="J27" s="110">
        <f t="shared" si="5"/>
        <v>0.73207750119674486</v>
      </c>
      <c r="K27" s="140">
        <f t="shared" si="4"/>
        <v>1.9999812661769258</v>
      </c>
      <c r="L27" s="111" t="s">
        <v>900</v>
      </c>
    </row>
    <row r="28" spans="1:12" x14ac:dyDescent="0.3">
      <c r="A28" s="93" t="s">
        <v>619</v>
      </c>
      <c r="B28" s="93" t="s">
        <v>662</v>
      </c>
      <c r="C28" s="173">
        <f>gas_2019_2020!F39</f>
        <v>70000000</v>
      </c>
      <c r="D28" s="173">
        <f>gas_2019_2020!G39</f>
        <v>40000000</v>
      </c>
      <c r="E28" s="173">
        <f>gas_2019_2020!H39</f>
        <v>25503703</v>
      </c>
      <c r="F28" s="140">
        <f t="shared" si="2"/>
        <v>0.63759257499999999</v>
      </c>
      <c r="G28" s="173">
        <f>SUMIFS(vigencia!$G:$G,vigencia!$A:$A,comparativo_g!$A28,vigencia!$E:$E,comparativo_g!$B28)</f>
        <v>72100000</v>
      </c>
      <c r="H28" s="173">
        <f>SUMIFS(vigencia!$L:$L,vigencia!$A:$A,comparativo_g!$A28,vigencia!$E:$E,comparativo_g!$B28)</f>
        <v>142100000</v>
      </c>
      <c r="I28" s="173">
        <f>SUMIFS(vigencia!$N:$N,vigencia!$A:$A,comparativo_g!$A28,vigencia!$E:$E,comparativo_g!$B28)</f>
        <v>107556455</v>
      </c>
      <c r="J28" s="110">
        <f t="shared" si="5"/>
        <v>0.75690679099225899</v>
      </c>
      <c r="K28" s="140">
        <f t="shared" si="4"/>
        <v>3.2172877797392796</v>
      </c>
      <c r="L28" s="111" t="s">
        <v>900</v>
      </c>
    </row>
    <row r="29" spans="1:12" x14ac:dyDescent="0.3">
      <c r="A29" s="93" t="s">
        <v>620</v>
      </c>
      <c r="B29" s="93" t="s">
        <v>663</v>
      </c>
      <c r="C29" s="173">
        <f>gas_2019_2020!F41</f>
        <v>3500000</v>
      </c>
      <c r="D29" s="173">
        <f>gas_2019_2020!G41</f>
        <v>3500000</v>
      </c>
      <c r="E29" s="173">
        <f>gas_2019_2020!H41</f>
        <v>2897909</v>
      </c>
      <c r="F29" s="140">
        <f t="shared" si="2"/>
        <v>0.82797399999999999</v>
      </c>
      <c r="G29" s="173">
        <f>SUMIFS(vigencia!$G:$G,vigencia!$A:$A,comparativo_g!$A29,vigencia!$E:$E,comparativo_g!$B29)</f>
        <v>307455000</v>
      </c>
      <c r="H29" s="173">
        <f>SUMIFS(vigencia!$L:$L,vigencia!$A:$A,comparativo_g!$A29,vigencia!$E:$E,comparativo_g!$B29)</f>
        <v>326555000</v>
      </c>
      <c r="I29" s="173">
        <f>SUMIFS(vigencia!$N:$N,vigencia!$A:$A,comparativo_g!$A29,vigencia!$E:$E,comparativo_g!$B29)</f>
        <v>256880522</v>
      </c>
      <c r="J29" s="110">
        <f t="shared" si="5"/>
        <v>0.78663784661083125</v>
      </c>
      <c r="K29" s="140">
        <f t="shared" si="4"/>
        <v>87.64340529671567</v>
      </c>
      <c r="L29" s="111" t="s">
        <v>900</v>
      </c>
    </row>
    <row r="30" spans="1:12" x14ac:dyDescent="0.3">
      <c r="A30" s="93" t="s">
        <v>621</v>
      </c>
      <c r="B30" s="93" t="s">
        <v>664</v>
      </c>
      <c r="C30" s="173">
        <f>gas_2019_2020!F31+gas_2019_2020!F35+gas_2019_2020!F36+gas_2019_2020!F37+gas_2019_2020!F40+gas_2019_2020!F43+gas_2019_2020!F44+gas_2019_2020!F45+gas_2019_2020!F16+gas_2019_2020!F17+gas_2019_2020!F32+gas_2019_2020!F33+gas_2019_2020!F42</f>
        <v>1842237298</v>
      </c>
      <c r="D30" s="173">
        <f>gas_2019_2020!G31+gas_2019_2020!G35+gas_2019_2020!G36+gas_2019_2020!G37+gas_2019_2020!G40+gas_2019_2020!G43+gas_2019_2020!G44+gas_2019_2020!G45+gas_2019_2020!G16+gas_2019_2020!G17+gas_2019_2020!G32+gas_2019_2020!G33+gas_2019_2020!G42</f>
        <v>1867244583</v>
      </c>
      <c r="E30" s="173">
        <f>gas_2019_2020!H31+gas_2019_2020!H35+gas_2019_2020!H36+gas_2019_2020!H37+gas_2019_2020!H40+gas_2019_2020!H43+gas_2019_2020!H44+gas_2019_2020!H45+gas_2019_2020!H16+gas_2019_2020!H17+gas_2019_2020!H32+gas_2019_2020!H33+gas_2019_2020!H42</f>
        <v>1056534407</v>
      </c>
      <c r="F30" s="140">
        <f t="shared" si="2"/>
        <v>0.56582539674718124</v>
      </c>
      <c r="G30" s="173">
        <f>SUMIFS(vigencia!$G:$G,vigencia!$A:$A,comparativo_g!$A30,vigencia!$E:$E,comparativo_g!$B30)</f>
        <v>1621598617</v>
      </c>
      <c r="H30" s="173">
        <f>SUMIFS(vigencia!$L:$L,vigencia!$A:$A,comparativo_g!$A30,vigencia!$E:$E,comparativo_g!$B30)</f>
        <v>1572498617</v>
      </c>
      <c r="I30" s="173">
        <f>SUMIFS(vigencia!$N:$N,vigencia!$A:$A,comparativo_g!$A30,vigencia!$E:$E,comparativo_g!$B30)</f>
        <v>1251406576</v>
      </c>
      <c r="J30" s="110">
        <f t="shared" si="5"/>
        <v>0.7958077434671601</v>
      </c>
      <c r="K30" s="140">
        <f t="shared" si="4"/>
        <v>0.18444469740775796</v>
      </c>
      <c r="L30" s="111" t="s">
        <v>900</v>
      </c>
    </row>
    <row r="31" spans="1:12" s="105" customFormat="1" x14ac:dyDescent="0.3">
      <c r="A31" s="104" t="s">
        <v>622</v>
      </c>
      <c r="B31" s="104"/>
      <c r="C31" s="172">
        <f>C32</f>
        <v>3000000</v>
      </c>
      <c r="D31" s="172">
        <f t="shared" ref="D31:I31" si="7">D32</f>
        <v>3000000</v>
      </c>
      <c r="E31" s="172">
        <f t="shared" si="7"/>
        <v>0</v>
      </c>
      <c r="F31" s="139">
        <f t="shared" si="2"/>
        <v>0</v>
      </c>
      <c r="G31" s="172">
        <f t="shared" si="7"/>
        <v>3200000</v>
      </c>
      <c r="H31" s="172">
        <f t="shared" si="7"/>
        <v>3200000</v>
      </c>
      <c r="I31" s="172">
        <f t="shared" si="7"/>
        <v>478000</v>
      </c>
      <c r="J31" s="112">
        <f t="shared" si="5"/>
        <v>0.14937500000000001</v>
      </c>
      <c r="K31" s="196" t="e">
        <f t="shared" si="4"/>
        <v>#DIV/0!</v>
      </c>
      <c r="L31" s="113"/>
    </row>
    <row r="32" spans="1:12" s="105" customFormat="1" x14ac:dyDescent="0.3">
      <c r="A32" s="104" t="s">
        <v>103</v>
      </c>
      <c r="B32" s="104"/>
      <c r="C32" s="172">
        <f>SUM(C33:C35)</f>
        <v>3000000</v>
      </c>
      <c r="D32" s="172">
        <f t="shared" ref="D32:I32" si="8">SUM(D33:D35)</f>
        <v>3000000</v>
      </c>
      <c r="E32" s="172">
        <f t="shared" si="8"/>
        <v>0</v>
      </c>
      <c r="F32" s="139">
        <f t="shared" si="2"/>
        <v>0</v>
      </c>
      <c r="G32" s="172">
        <f t="shared" si="8"/>
        <v>3200000</v>
      </c>
      <c r="H32" s="172">
        <f t="shared" si="8"/>
        <v>3200000</v>
      </c>
      <c r="I32" s="172">
        <f t="shared" si="8"/>
        <v>478000</v>
      </c>
      <c r="J32" s="112">
        <f t="shared" si="5"/>
        <v>0.14937500000000001</v>
      </c>
      <c r="K32" s="196" t="e">
        <f t="shared" si="4"/>
        <v>#DIV/0!</v>
      </c>
      <c r="L32" s="113"/>
    </row>
    <row r="33" spans="1:12" x14ac:dyDescent="0.3">
      <c r="A33" s="93" t="s">
        <v>583</v>
      </c>
      <c r="B33" s="93" t="s">
        <v>584</v>
      </c>
      <c r="C33" s="173">
        <f>gas_2019_2020!F47</f>
        <v>3000000</v>
      </c>
      <c r="D33" s="173">
        <f>gas_2019_2020!G47</f>
        <v>3000000</v>
      </c>
      <c r="E33" s="173">
        <f>gas_2019_2020!H47</f>
        <v>0</v>
      </c>
      <c r="F33" s="140">
        <f t="shared" si="2"/>
        <v>0</v>
      </c>
      <c r="G33" s="173">
        <f>SUMIFS(vigencia!$G:$G,vigencia!$A:$A,comparativo_g!$A33,vigencia!$E:$E,comparativo_g!$B33)</f>
        <v>1000000</v>
      </c>
      <c r="H33" s="173">
        <f>SUMIFS(vigencia!$L:$L,vigencia!$A:$A,comparativo_g!$A33,vigencia!$E:$E,comparativo_g!$B33)</f>
        <v>1000000</v>
      </c>
      <c r="I33" s="173">
        <f>SUMIFS(vigencia!$N:$N,vigencia!$A:$A,comparativo_g!$A33,vigencia!$E:$E,comparativo_g!$B33)</f>
        <v>0</v>
      </c>
      <c r="J33" s="110">
        <f t="shared" si="5"/>
        <v>0</v>
      </c>
      <c r="K33" s="196" t="e">
        <f t="shared" si="4"/>
        <v>#DIV/0!</v>
      </c>
      <c r="L33" s="111"/>
    </row>
    <row r="34" spans="1:12" x14ac:dyDescent="0.3">
      <c r="A34" s="93" t="s">
        <v>585</v>
      </c>
      <c r="B34" s="93" t="s">
        <v>586</v>
      </c>
      <c r="C34" s="173">
        <v>0</v>
      </c>
      <c r="D34" s="173">
        <v>0</v>
      </c>
      <c r="E34" s="173">
        <v>0</v>
      </c>
      <c r="F34" s="140">
        <f t="shared" si="2"/>
        <v>0</v>
      </c>
      <c r="G34" s="173">
        <f>SUMIFS(vigencia!$G:$G,vigencia!$A:$A,comparativo_g!$A34,vigencia!$E:$E,comparativo_g!$B34)</f>
        <v>1000000</v>
      </c>
      <c r="H34" s="173">
        <f>SUMIFS(vigencia!$L:$L,vigencia!$A:$A,comparativo_g!$A34,vigencia!$E:$E,comparativo_g!$B34)</f>
        <v>1000000</v>
      </c>
      <c r="I34" s="173">
        <f>SUMIFS(vigencia!$N:$N,vigencia!$A:$A,comparativo_g!$A34,vigencia!$E:$E,comparativo_g!$B34)</f>
        <v>478000</v>
      </c>
      <c r="J34" s="110">
        <f t="shared" si="5"/>
        <v>0.47799999999999998</v>
      </c>
      <c r="K34" s="196" t="e">
        <f t="shared" si="4"/>
        <v>#DIV/0!</v>
      </c>
      <c r="L34" s="111"/>
    </row>
    <row r="35" spans="1:12" x14ac:dyDescent="0.3">
      <c r="A35" s="93" t="s">
        <v>587</v>
      </c>
      <c r="B35" s="93" t="s">
        <v>588</v>
      </c>
      <c r="C35" s="173">
        <v>0</v>
      </c>
      <c r="D35" s="173">
        <v>0</v>
      </c>
      <c r="E35" s="173">
        <v>0</v>
      </c>
      <c r="F35" s="140">
        <f t="shared" si="2"/>
        <v>0</v>
      </c>
      <c r="G35" s="173">
        <f>SUMIFS(vigencia!$G:$G,vigencia!$A:$A,comparativo_g!$A35,vigencia!$E:$E,comparativo_g!$B35)</f>
        <v>1200000</v>
      </c>
      <c r="H35" s="173">
        <f>SUMIFS(vigencia!$L:$L,vigencia!$A:$A,comparativo_g!$A35,vigencia!$E:$E,comparativo_g!$B35)</f>
        <v>1200000</v>
      </c>
      <c r="I35" s="173">
        <f>SUMIFS(vigencia!$N:$N,vigencia!$A:$A,comparativo_g!$A35,vigencia!$E:$E,comparativo_g!$B35)</f>
        <v>0</v>
      </c>
      <c r="J35" s="110">
        <f t="shared" si="5"/>
        <v>0</v>
      </c>
      <c r="K35" s="196" t="e">
        <f t="shared" si="4"/>
        <v>#DIV/0!</v>
      </c>
      <c r="L35" s="111"/>
    </row>
    <row r="36" spans="1:12" s="105" customFormat="1" x14ac:dyDescent="0.3">
      <c r="A36" s="104" t="s">
        <v>624</v>
      </c>
      <c r="B36" s="104"/>
      <c r="C36" s="172">
        <f>SUM(C37:C38)</f>
        <v>90000000</v>
      </c>
      <c r="D36" s="172">
        <f t="shared" ref="D36:I36" si="9">SUM(D37:D38)</f>
        <v>90000000</v>
      </c>
      <c r="E36" s="172">
        <f t="shared" si="9"/>
        <v>26903607</v>
      </c>
      <c r="F36" s="139">
        <f t="shared" si="2"/>
        <v>0.29892896666666668</v>
      </c>
      <c r="G36" s="172">
        <f t="shared" si="9"/>
        <v>45000000</v>
      </c>
      <c r="H36" s="172">
        <f t="shared" si="9"/>
        <v>45000000</v>
      </c>
      <c r="I36" s="172">
        <f t="shared" si="9"/>
        <v>25000000</v>
      </c>
      <c r="J36" s="112">
        <f t="shared" si="5"/>
        <v>0.55555555555555558</v>
      </c>
      <c r="K36" s="140">
        <f t="shared" si="4"/>
        <v>-7.075657178608058E-2</v>
      </c>
      <c r="L36" s="113"/>
    </row>
    <row r="37" spans="1:12" x14ac:dyDescent="0.3">
      <c r="A37" s="93" t="s">
        <v>589</v>
      </c>
      <c r="B37" s="93" t="s">
        <v>590</v>
      </c>
      <c r="C37" s="173">
        <f>gas_2019_2020!F14</f>
        <v>90000000</v>
      </c>
      <c r="D37" s="173">
        <f>gas_2019_2020!G14</f>
        <v>90000000</v>
      </c>
      <c r="E37" s="173">
        <f>gas_2019_2020!H14</f>
        <v>26903607</v>
      </c>
      <c r="F37" s="140">
        <f t="shared" si="2"/>
        <v>0.29892896666666668</v>
      </c>
      <c r="G37" s="173">
        <f>SUMIFS(vigencia!$G:$G,vigencia!$A:$A,comparativo_g!$A37,vigencia!$E:$E,comparativo_g!$B37)</f>
        <v>25000000</v>
      </c>
      <c r="H37" s="173">
        <f>SUMIFS(vigencia!$L:$L,vigencia!$A:$A,comparativo_g!$A37,vigencia!$E:$E,comparativo_g!$B37)</f>
        <v>25000000</v>
      </c>
      <c r="I37" s="173">
        <f>SUMIFS(vigencia!$N:$N,vigencia!$A:$A,comparativo_g!$A37,vigencia!$E:$E,comparativo_g!$B37)</f>
        <v>25000000</v>
      </c>
      <c r="J37" s="110">
        <f t="shared" si="5"/>
        <v>1</v>
      </c>
      <c r="K37" s="140">
        <f t="shared" si="4"/>
        <v>-7.075657178608058E-2</v>
      </c>
      <c r="L37" s="111" t="s">
        <v>900</v>
      </c>
    </row>
    <row r="38" spans="1:12" x14ac:dyDescent="0.3">
      <c r="A38" s="93" t="s">
        <v>591</v>
      </c>
      <c r="B38" s="93" t="s">
        <v>592</v>
      </c>
      <c r="C38" s="173">
        <v>0</v>
      </c>
      <c r="D38" s="173">
        <v>0</v>
      </c>
      <c r="E38" s="173">
        <v>0</v>
      </c>
      <c r="F38" s="140">
        <f t="shared" si="2"/>
        <v>0</v>
      </c>
      <c r="G38" s="173">
        <f>SUMIFS(vigencia!$G:$G,vigencia!$A:$A,comparativo_g!$A38,vigencia!$E:$E,comparativo_g!$B38)</f>
        <v>20000000</v>
      </c>
      <c r="H38" s="173">
        <f>SUMIFS(vigencia!$L:$L,vigencia!$A:$A,comparativo_g!$A38,vigencia!$E:$E,comparativo_g!$B38)</f>
        <v>20000000</v>
      </c>
      <c r="I38" s="173">
        <f>SUMIFS(vigencia!$N:$N,vigencia!$A:$A,comparativo_g!$A38,vigencia!$E:$E,comparativo_g!$B38)</f>
        <v>0</v>
      </c>
      <c r="J38" s="110">
        <f t="shared" si="5"/>
        <v>0</v>
      </c>
      <c r="K38" s="196" t="e">
        <f t="shared" si="4"/>
        <v>#DIV/0!</v>
      </c>
      <c r="L38" s="111"/>
    </row>
    <row r="39" spans="1:12" s="105" customFormat="1" x14ac:dyDescent="0.3">
      <c r="A39" s="104" t="s">
        <v>626</v>
      </c>
      <c r="B39" s="104"/>
      <c r="C39" s="172">
        <f>SUM(C40:C42)</f>
        <v>25000000</v>
      </c>
      <c r="D39" s="172">
        <f t="shared" ref="D39:I39" si="10">SUM(D40:D42)</f>
        <v>29992715</v>
      </c>
      <c r="E39" s="172">
        <f t="shared" si="10"/>
        <v>27992715</v>
      </c>
      <c r="F39" s="139">
        <f t="shared" si="2"/>
        <v>0.93331714051228776</v>
      </c>
      <c r="G39" s="172">
        <f t="shared" si="10"/>
        <v>32060000</v>
      </c>
      <c r="H39" s="172">
        <f t="shared" si="10"/>
        <v>32060000</v>
      </c>
      <c r="I39" s="172">
        <f t="shared" si="10"/>
        <v>27992715</v>
      </c>
      <c r="J39" s="112">
        <f t="shared" si="5"/>
        <v>0.87313521522145976</v>
      </c>
      <c r="K39" s="140">
        <f t="shared" si="4"/>
        <v>0</v>
      </c>
      <c r="L39" s="113"/>
    </row>
    <row r="40" spans="1:12" x14ac:dyDescent="0.3">
      <c r="A40" s="93" t="s">
        <v>593</v>
      </c>
      <c r="B40" s="93" t="s">
        <v>594</v>
      </c>
      <c r="C40" s="173">
        <f>gas_2019_2020!F48</f>
        <v>23000000</v>
      </c>
      <c r="D40" s="173">
        <f>gas_2019_2020!G48</f>
        <v>27992715</v>
      </c>
      <c r="E40" s="173">
        <f>gas_2019_2020!H48</f>
        <v>27992715</v>
      </c>
      <c r="F40" s="140">
        <f t="shared" si="2"/>
        <v>1</v>
      </c>
      <c r="G40" s="173">
        <f>SUMIFS(vigencia!$G:$G,vigencia!$A:$A,comparativo_g!$A40,vigencia!$E:$E,comparativo_g!$B40)</f>
        <v>30000000</v>
      </c>
      <c r="H40" s="173">
        <f>SUMIFS(vigencia!$L:$L,vigencia!$A:$A,comparativo_g!$A40,vigencia!$E:$E,comparativo_g!$B40)</f>
        <v>30000000</v>
      </c>
      <c r="I40" s="173">
        <f>SUMIFS(vigencia!$N:$N,vigencia!$A:$A,comparativo_g!$A40,vigencia!$E:$E,comparativo_g!$B40)</f>
        <v>27992715</v>
      </c>
      <c r="J40" s="110">
        <f t="shared" si="5"/>
        <v>0.93309050000000004</v>
      </c>
      <c r="K40" s="140">
        <f t="shared" si="4"/>
        <v>0</v>
      </c>
      <c r="L40" s="111"/>
    </row>
    <row r="41" spans="1:12" x14ac:dyDescent="0.3">
      <c r="A41" s="93" t="s">
        <v>595</v>
      </c>
      <c r="B41" s="93" t="s">
        <v>596</v>
      </c>
      <c r="C41" s="173">
        <f>gas_2019_2020!F34</f>
        <v>2000000</v>
      </c>
      <c r="D41" s="173">
        <f>gas_2019_2020!G34</f>
        <v>2000000</v>
      </c>
      <c r="E41" s="173">
        <f>gas_2019_2020!H34</f>
        <v>0</v>
      </c>
      <c r="F41" s="140">
        <f t="shared" si="2"/>
        <v>0</v>
      </c>
      <c r="G41" s="173">
        <f>SUMIFS(vigencia!$G:$G,vigencia!$A:$A,comparativo_g!$A41,vigencia!$E:$E,comparativo_g!$B41)</f>
        <v>1860000</v>
      </c>
      <c r="H41" s="173">
        <f>SUMIFS(vigencia!$L:$L,vigencia!$A:$A,comparativo_g!$A41,vigencia!$E:$E,comparativo_g!$B41)</f>
        <v>1860000</v>
      </c>
      <c r="I41" s="173">
        <f>SUMIFS(vigencia!$N:$N,vigencia!$A:$A,comparativo_g!$A41,vigencia!$E:$E,comparativo_g!$B41)</f>
        <v>0</v>
      </c>
      <c r="J41" s="110">
        <f t="shared" si="5"/>
        <v>0</v>
      </c>
      <c r="K41" s="196" t="e">
        <f t="shared" si="4"/>
        <v>#DIV/0!</v>
      </c>
      <c r="L41" s="111"/>
    </row>
    <row r="42" spans="1:12" x14ac:dyDescent="0.3">
      <c r="A42" s="93" t="s">
        <v>597</v>
      </c>
      <c r="B42" s="93" t="s">
        <v>598</v>
      </c>
      <c r="C42" s="173">
        <v>0</v>
      </c>
      <c r="D42" s="173">
        <v>0</v>
      </c>
      <c r="E42" s="173">
        <v>0</v>
      </c>
      <c r="F42" s="140">
        <f t="shared" si="2"/>
        <v>0</v>
      </c>
      <c r="G42" s="173">
        <f>SUMIFS(vigencia!$G:$G,vigencia!$A:$A,comparativo_g!$A42,vigencia!$E:$E,comparativo_g!$B42)</f>
        <v>200000</v>
      </c>
      <c r="H42" s="173">
        <f>SUMIFS(vigencia!$L:$L,vigencia!$A:$A,comparativo_g!$A42,vigencia!$E:$E,comparativo_g!$B42)</f>
        <v>200000</v>
      </c>
      <c r="I42" s="173">
        <f>SUMIFS(vigencia!$N:$N,vigencia!$A:$A,comparativo_g!$A42,vigencia!$E:$E,comparativo_g!$B42)</f>
        <v>0</v>
      </c>
      <c r="J42" s="110">
        <f t="shared" si="5"/>
        <v>0</v>
      </c>
      <c r="K42" s="196" t="e">
        <f t="shared" si="4"/>
        <v>#DIV/0!</v>
      </c>
      <c r="L42" s="111"/>
    </row>
    <row r="43" spans="1:12" s="124" customFormat="1" x14ac:dyDescent="0.3">
      <c r="A43" s="121" t="s">
        <v>781</v>
      </c>
      <c r="B43" s="121"/>
      <c r="C43" s="206">
        <f>C7+C26+C31+C36+C39</f>
        <v>6919237298</v>
      </c>
      <c r="D43" s="206">
        <f t="shared" ref="D43:I43" si="11">D7+D26+D31+D36+D39</f>
        <v>6919237298</v>
      </c>
      <c r="E43" s="206">
        <f t="shared" si="11"/>
        <v>5367524971</v>
      </c>
      <c r="F43" s="141">
        <f t="shared" si="2"/>
        <v>0.77573939725285601</v>
      </c>
      <c r="G43" s="174">
        <f t="shared" si="11"/>
        <v>7318227555</v>
      </c>
      <c r="H43" s="174">
        <f t="shared" si="11"/>
        <v>7318227555</v>
      </c>
      <c r="I43" s="174">
        <f t="shared" si="11"/>
        <v>6187571634</v>
      </c>
      <c r="J43" s="122">
        <f t="shared" si="5"/>
        <v>0.84550139873315266</v>
      </c>
      <c r="K43" s="146">
        <f t="shared" si="4"/>
        <v>0.15277929165315476</v>
      </c>
      <c r="L43" s="123"/>
    </row>
    <row r="44" spans="1:12" s="88" customFormat="1" ht="15" customHeight="1" x14ac:dyDescent="0.3">
      <c r="A44" s="108"/>
      <c r="B44" s="108"/>
      <c r="C44" s="175"/>
      <c r="D44" s="175"/>
      <c r="E44" s="175"/>
      <c r="F44" s="142"/>
      <c r="G44" s="175"/>
      <c r="H44" s="175"/>
      <c r="I44" s="175"/>
      <c r="J44" s="106"/>
      <c r="K44" s="147"/>
      <c r="L44" s="109"/>
    </row>
    <row r="45" spans="1:12" s="97" customFormat="1" ht="15" customHeight="1" x14ac:dyDescent="0.25">
      <c r="A45" s="120" t="s">
        <v>784</v>
      </c>
      <c r="B45" s="125"/>
      <c r="C45" s="176">
        <v>0</v>
      </c>
      <c r="D45" s="176">
        <v>0</v>
      </c>
      <c r="E45" s="176">
        <v>0</v>
      </c>
      <c r="F45" s="143">
        <f t="shared" si="2"/>
        <v>0</v>
      </c>
      <c r="G45" s="177"/>
      <c r="H45" s="177"/>
      <c r="I45" s="178"/>
      <c r="J45" s="103"/>
      <c r="K45" s="143">
        <v>0</v>
      </c>
      <c r="L45" s="126"/>
    </row>
    <row r="46" spans="1:12" s="97" customFormat="1" ht="15" customHeight="1" x14ac:dyDescent="0.25">
      <c r="A46" s="115"/>
      <c r="B46" s="116"/>
      <c r="C46" s="179"/>
      <c r="D46" s="179"/>
      <c r="E46" s="179"/>
      <c r="F46" s="144"/>
      <c r="G46" s="179"/>
      <c r="H46" s="179"/>
      <c r="I46" s="180"/>
      <c r="J46" s="117"/>
      <c r="K46" s="144"/>
    </row>
    <row r="47" spans="1:12" s="88" customFormat="1" ht="15" customHeight="1" x14ac:dyDescent="0.3">
      <c r="A47" s="118" t="s">
        <v>785</v>
      </c>
      <c r="B47" s="85"/>
      <c r="C47" s="187">
        <v>0</v>
      </c>
      <c r="D47" s="187">
        <v>0</v>
      </c>
      <c r="E47" s="187">
        <v>0</v>
      </c>
      <c r="F47" s="198">
        <f t="shared" si="2"/>
        <v>0</v>
      </c>
      <c r="G47" s="187"/>
      <c r="H47" s="187"/>
      <c r="I47" s="187"/>
      <c r="J47" s="110"/>
      <c r="K47" s="199">
        <v>0</v>
      </c>
      <c r="L47" s="200"/>
    </row>
    <row r="48" spans="1:12" s="88" customFormat="1" ht="15" customHeight="1" x14ac:dyDescent="0.3">
      <c r="A48" s="119"/>
      <c r="B48" s="201"/>
      <c r="C48" s="202"/>
      <c r="D48" s="202"/>
      <c r="E48" s="202"/>
      <c r="F48" s="203"/>
      <c r="G48" s="202"/>
      <c r="H48" s="202"/>
      <c r="I48" s="202"/>
      <c r="J48" s="101"/>
      <c r="K48" s="204"/>
      <c r="L48" s="94"/>
    </row>
    <row r="49" spans="1:12" s="88" customFormat="1" ht="15" customHeight="1" x14ac:dyDescent="0.3">
      <c r="A49" s="118" t="s">
        <v>786</v>
      </c>
      <c r="B49" s="85"/>
      <c r="C49" s="187">
        <v>0</v>
      </c>
      <c r="D49" s="187">
        <v>0</v>
      </c>
      <c r="E49" s="187">
        <v>0</v>
      </c>
      <c r="F49" s="198">
        <f t="shared" si="2"/>
        <v>0</v>
      </c>
      <c r="G49" s="187"/>
      <c r="H49" s="187"/>
      <c r="I49" s="187"/>
      <c r="J49" s="110"/>
      <c r="K49" s="199">
        <v>0</v>
      </c>
      <c r="L49" s="200"/>
    </row>
    <row r="50" spans="1:12" s="88" customFormat="1" ht="15" customHeight="1" x14ac:dyDescent="0.3">
      <c r="A50" s="119"/>
      <c r="B50" s="108"/>
      <c r="C50" s="175"/>
      <c r="D50" s="175"/>
      <c r="E50" s="175"/>
      <c r="F50" s="142"/>
      <c r="G50" s="175"/>
      <c r="H50" s="175"/>
      <c r="I50" s="175"/>
      <c r="J50" s="106"/>
      <c r="K50" s="147"/>
      <c r="L50" s="109"/>
    </row>
    <row r="51" spans="1:12" s="86" customFormat="1" x14ac:dyDescent="0.3">
      <c r="A51" s="189" t="s">
        <v>787</v>
      </c>
      <c r="B51" s="190">
        <f>B47+B49</f>
        <v>0</v>
      </c>
      <c r="C51" s="191">
        <f t="shared" ref="C51:I51" si="12">C47+C49</f>
        <v>0</v>
      </c>
      <c r="D51" s="191">
        <f t="shared" si="12"/>
        <v>0</v>
      </c>
      <c r="E51" s="191">
        <f t="shared" si="12"/>
        <v>0</v>
      </c>
      <c r="F51" s="192">
        <f t="shared" si="2"/>
        <v>0</v>
      </c>
      <c r="G51" s="191">
        <f t="shared" si="12"/>
        <v>0</v>
      </c>
      <c r="H51" s="191">
        <f t="shared" si="12"/>
        <v>0</v>
      </c>
      <c r="I51" s="191">
        <f t="shared" si="12"/>
        <v>0</v>
      </c>
      <c r="J51" s="193"/>
      <c r="K51" s="197" t="e">
        <f t="shared" si="4"/>
        <v>#DIV/0!</v>
      </c>
      <c r="L51" s="194"/>
    </row>
    <row r="52" spans="1:12" x14ac:dyDescent="0.3">
      <c r="A52" s="114"/>
      <c r="B52" s="95"/>
      <c r="F52" s="145">
        <f t="shared" si="2"/>
        <v>0</v>
      </c>
      <c r="K52" s="195" t="e">
        <f t="shared" si="4"/>
        <v>#DIV/0!</v>
      </c>
    </row>
    <row r="53" spans="1:12" x14ac:dyDescent="0.3">
      <c r="A53" s="107" t="s">
        <v>718</v>
      </c>
      <c r="B53" s="107"/>
      <c r="C53" s="173"/>
      <c r="D53" s="173"/>
      <c r="E53" s="173"/>
      <c r="F53" s="140">
        <f t="shared" si="2"/>
        <v>0</v>
      </c>
      <c r="G53" s="173"/>
      <c r="H53" s="173"/>
      <c r="I53" s="173"/>
      <c r="J53" s="110"/>
      <c r="K53" s="196" t="e">
        <f t="shared" si="4"/>
        <v>#DIV/0!</v>
      </c>
      <c r="L53" s="111"/>
    </row>
    <row r="54" spans="1:12" x14ac:dyDescent="0.3">
      <c r="A54" s="186" t="s">
        <v>421</v>
      </c>
      <c r="B54" s="137" t="s">
        <v>755</v>
      </c>
      <c r="C54" s="173">
        <v>0</v>
      </c>
      <c r="D54" s="173">
        <v>0</v>
      </c>
      <c r="E54" s="173">
        <v>0</v>
      </c>
      <c r="F54" s="140">
        <f t="shared" si="2"/>
        <v>0</v>
      </c>
      <c r="G54" s="173">
        <f>SUMIFS(vigencia!$G:$G,vigencia!$A:$A,comparativo_g!$A54)</f>
        <v>1025000000</v>
      </c>
      <c r="H54" s="173">
        <f>SUMIFS(vigencia!$L:$L,vigencia!$A:$A,comparativo_g!$A54)</f>
        <v>2725000000</v>
      </c>
      <c r="I54" s="173">
        <f>SUMIFS(vigencia!$N:$N,vigencia!$A:$A,comparativo_g!$A54)</f>
        <v>2718443828</v>
      </c>
      <c r="J54" s="110">
        <f t="shared" ref="J54:J62" si="13">I54/H54</f>
        <v>0.99759406532110095</v>
      </c>
      <c r="K54" s="196" t="e">
        <f t="shared" si="4"/>
        <v>#DIV/0!</v>
      </c>
      <c r="L54" s="111" t="s">
        <v>979</v>
      </c>
    </row>
    <row r="55" spans="1:12" x14ac:dyDescent="0.3">
      <c r="A55" s="186" t="s">
        <v>361</v>
      </c>
      <c r="B55" s="137" t="s">
        <v>756</v>
      </c>
      <c r="C55" s="173">
        <f>gas_2019_2020!F64</f>
        <v>350000000</v>
      </c>
      <c r="D55" s="173">
        <f>gas_2019_2020!G64</f>
        <v>369707887</v>
      </c>
      <c r="E55" s="173">
        <f>gas_2019_2020!H64</f>
        <v>365650810</v>
      </c>
      <c r="F55" s="140">
        <f t="shared" si="2"/>
        <v>0.98902626332123666</v>
      </c>
      <c r="G55" s="173">
        <f>SUMIFS(vigencia!$G:$G,vigencia!$A:$A,comparativo_g!$A55)</f>
        <v>1183657078</v>
      </c>
      <c r="H55" s="173">
        <f>SUMIFS(vigencia!$L:$L,vigencia!$A:$A,comparativo_g!$A55)</f>
        <v>1993363725</v>
      </c>
      <c r="I55" s="173">
        <f>SUMIFS(vigencia!$N:$N,vigencia!$A:$A,comparativo_g!$A55)</f>
        <v>1332938839</v>
      </c>
      <c r="J55" s="110">
        <f t="shared" si="13"/>
        <v>0.6686882189551232</v>
      </c>
      <c r="K55" s="140">
        <f t="shared" si="4"/>
        <v>2.645387354673165</v>
      </c>
      <c r="L55" s="111" t="s">
        <v>980</v>
      </c>
    </row>
    <row r="56" spans="1:12" x14ac:dyDescent="0.3">
      <c r="A56" s="186" t="s">
        <v>471</v>
      </c>
      <c r="B56" s="137" t="s">
        <v>759</v>
      </c>
      <c r="C56" s="173">
        <v>0</v>
      </c>
      <c r="D56" s="173">
        <v>0</v>
      </c>
      <c r="E56" s="173">
        <v>0</v>
      </c>
      <c r="F56" s="140">
        <f t="shared" si="2"/>
        <v>0</v>
      </c>
      <c r="G56" s="173">
        <f>SUMIFS(vigencia!$G:$G,vigencia!$A:$A,comparativo_g!$A56)</f>
        <v>108000000</v>
      </c>
      <c r="H56" s="173">
        <f>SUMIFS(vigencia!$L:$L,vigencia!$A:$A,comparativo_g!$A56)</f>
        <v>1366748154</v>
      </c>
      <c r="I56" s="173">
        <f>SUMIFS(vigencia!$N:$N,vigencia!$A:$A,comparativo_g!$A56)</f>
        <v>632859997</v>
      </c>
      <c r="J56" s="110">
        <f t="shared" si="13"/>
        <v>0.46304068174362428</v>
      </c>
      <c r="K56" s="196" t="e">
        <f t="shared" si="4"/>
        <v>#DIV/0!</v>
      </c>
      <c r="L56" s="111" t="s">
        <v>980</v>
      </c>
    </row>
    <row r="57" spans="1:12" x14ac:dyDescent="0.3">
      <c r="A57" s="186" t="s">
        <v>384</v>
      </c>
      <c r="B57" s="137" t="s">
        <v>757</v>
      </c>
      <c r="C57" s="173">
        <f>gas_2019_2020!F61</f>
        <v>1608693317</v>
      </c>
      <c r="D57" s="173">
        <f>gas_2019_2020!G61</f>
        <v>5646049178</v>
      </c>
      <c r="E57" s="173">
        <f>gas_2019_2020!H61</f>
        <v>4140159096</v>
      </c>
      <c r="F57" s="140">
        <f t="shared" si="2"/>
        <v>0.73328427816963659</v>
      </c>
      <c r="G57" s="173">
        <f>SUMIFS(vigencia!$G:$G,vigencia!$A:$A,comparativo_g!$A57)</f>
        <v>962041310</v>
      </c>
      <c r="H57" s="173">
        <f>SUMIFS(vigencia!$L:$L,vigencia!$A:$A,comparativo_g!$A57)</f>
        <v>3717118667</v>
      </c>
      <c r="I57" s="173">
        <f>SUMIFS(vigencia!$N:$N,vigencia!$A:$A,comparativo_g!$A57)</f>
        <v>3076688939</v>
      </c>
      <c r="J57" s="110">
        <f t="shared" si="13"/>
        <v>0.82770802189189296</v>
      </c>
      <c r="K57" s="140">
        <f t="shared" si="4"/>
        <v>-0.25686697837951877</v>
      </c>
      <c r="L57" s="111" t="s">
        <v>952</v>
      </c>
    </row>
    <row r="58" spans="1:12" x14ac:dyDescent="0.3">
      <c r="A58" s="186" t="s">
        <v>448</v>
      </c>
      <c r="B58" s="137" t="s">
        <v>763</v>
      </c>
      <c r="C58" s="173">
        <f>gas_2019_2020!F62</f>
        <v>2960478919</v>
      </c>
      <c r="D58" s="173">
        <f>gas_2019_2020!G62</f>
        <v>4664847358</v>
      </c>
      <c r="E58" s="173">
        <f>gas_2019_2020!H62</f>
        <v>4078970234</v>
      </c>
      <c r="F58" s="140">
        <f t="shared" si="2"/>
        <v>0.87440593892204266</v>
      </c>
      <c r="G58" s="173">
        <f>SUMIFS(vigencia!$G:$G,vigencia!$A:$A,comparativo_g!$A58)</f>
        <v>2149387204</v>
      </c>
      <c r="H58" s="173">
        <f>SUMIFS(vigencia!$L:$L,vigencia!$A:$A,comparativo_g!$A58)</f>
        <v>2119296467</v>
      </c>
      <c r="I58" s="173">
        <f>SUMIFS(vigencia!$N:$N,vigencia!$A:$A,comparativo_g!$A58)</f>
        <v>1529698873</v>
      </c>
      <c r="J58" s="110">
        <f t="shared" si="13"/>
        <v>0.72179560378609364</v>
      </c>
      <c r="K58" s="140">
        <f t="shared" si="4"/>
        <v>-0.62497915276525162</v>
      </c>
      <c r="L58" s="111" t="s">
        <v>952</v>
      </c>
    </row>
    <row r="59" spans="1:12" x14ac:dyDescent="0.3">
      <c r="A59" s="186" t="s">
        <v>499</v>
      </c>
      <c r="B59" s="137" t="s">
        <v>761</v>
      </c>
      <c r="C59" s="173">
        <f>gas_2019_2020!F68+gas_2019_2020!F67+gas_2019_2020!F69</f>
        <v>900000000</v>
      </c>
      <c r="D59" s="173">
        <f>gas_2019_2020!G68+gas_2019_2020!G67+gas_2019_2020!G69</f>
        <v>816700626</v>
      </c>
      <c r="E59" s="173">
        <f>gas_2019_2020!H68+gas_2019_2020!H67+gas_2019_2020!H69</f>
        <v>689767277</v>
      </c>
      <c r="F59" s="140">
        <f t="shared" si="2"/>
        <v>0.84457787228388881</v>
      </c>
      <c r="G59" s="173">
        <f>SUMIFS(vigencia!$G:$G,vigencia!$A:$A,comparativo_g!$A59)</f>
        <v>479925471</v>
      </c>
      <c r="H59" s="173">
        <f>SUMIFS(vigencia!$L:$L,vigencia!$A:$A,comparativo_g!$A59)</f>
        <v>1019925471</v>
      </c>
      <c r="I59" s="173">
        <f>SUMIFS(vigencia!$N:$N,vigencia!$A:$A,comparativo_g!$A59)</f>
        <v>628041556</v>
      </c>
      <c r="J59" s="110">
        <f t="shared" si="13"/>
        <v>0.6157720086980748</v>
      </c>
      <c r="K59" s="140">
        <f t="shared" si="4"/>
        <v>-8.9487749068734093E-2</v>
      </c>
      <c r="L59" s="111" t="s">
        <v>980</v>
      </c>
    </row>
    <row r="60" spans="1:12" x14ac:dyDescent="0.3">
      <c r="A60" s="186" t="s">
        <v>434</v>
      </c>
      <c r="B60" s="137" t="s">
        <v>758</v>
      </c>
      <c r="C60" s="173">
        <f>gas_2019_2020!F63</f>
        <v>800000000</v>
      </c>
      <c r="D60" s="173">
        <f>gas_2019_2020!G63</f>
        <v>3700000000</v>
      </c>
      <c r="E60" s="173">
        <f>gas_2019_2020!H63</f>
        <v>1110838453</v>
      </c>
      <c r="F60" s="140">
        <f t="shared" si="2"/>
        <v>0.30022660891891889</v>
      </c>
      <c r="G60" s="173">
        <f>SUMIFS(vigencia!$G:$G,vigencia!$A:$A,comparativo_g!$A60)</f>
        <v>900000000</v>
      </c>
      <c r="H60" s="173">
        <f>SUMIFS(vigencia!$L:$L,vigencia!$A:$A,comparativo_g!$A60)</f>
        <v>3310000000</v>
      </c>
      <c r="I60" s="173">
        <f>SUMIFS(vigencia!$N:$N,vigencia!$A:$A,comparativo_g!$A60)</f>
        <v>1680592848</v>
      </c>
      <c r="J60" s="110">
        <f t="shared" si="13"/>
        <v>0.50773197824773408</v>
      </c>
      <c r="K60" s="140">
        <f t="shared" si="4"/>
        <v>0.51290481839306656</v>
      </c>
      <c r="L60" s="111" t="s">
        <v>980</v>
      </c>
    </row>
    <row r="61" spans="1:12" x14ac:dyDescent="0.3">
      <c r="A61" s="186" t="s">
        <v>486</v>
      </c>
      <c r="B61" s="137" t="s">
        <v>762</v>
      </c>
      <c r="C61" s="173">
        <f>gas_2019_2020!F70</f>
        <v>50000000</v>
      </c>
      <c r="D61" s="173">
        <f>gas_2019_2020!G70</f>
        <v>1861330620</v>
      </c>
      <c r="E61" s="173">
        <f>gas_2019_2020!H70</f>
        <v>814062996</v>
      </c>
      <c r="F61" s="140">
        <f t="shared" si="2"/>
        <v>0.43735539901019843</v>
      </c>
      <c r="G61" s="173">
        <f>SUMIFS(vigencia!$G:$G,vigencia!$A:$A,comparativo_g!$A61)</f>
        <v>200000000</v>
      </c>
      <c r="H61" s="173">
        <f>SUMIFS(vigencia!$L:$L,vigencia!$A:$A,comparativo_g!$A61)</f>
        <v>727464683</v>
      </c>
      <c r="I61" s="173">
        <f>SUMIFS(vigencia!$N:$N,vigencia!$A:$A,comparativo_g!$A61)</f>
        <v>582391020</v>
      </c>
      <c r="J61" s="110">
        <f t="shared" si="13"/>
        <v>0.80057634907892838</v>
      </c>
      <c r="K61" s="140">
        <f t="shared" si="4"/>
        <v>-0.28458728272670436</v>
      </c>
      <c r="L61" s="111" t="s">
        <v>993</v>
      </c>
    </row>
    <row r="62" spans="1:12" x14ac:dyDescent="0.3">
      <c r="A62" s="186" t="s">
        <v>479</v>
      </c>
      <c r="B62" s="137" t="s">
        <v>760</v>
      </c>
      <c r="C62" s="173">
        <f>gas_2019_2020!F66+gas_2019_2020!F65</f>
        <v>152227000</v>
      </c>
      <c r="D62" s="173">
        <f>gas_2019_2020!G66+gas_2019_2020!G65</f>
        <v>387570036</v>
      </c>
      <c r="E62" s="173">
        <f>gas_2019_2020!H66+gas_2019_2020!H65</f>
        <v>350883588</v>
      </c>
      <c r="F62" s="140">
        <f t="shared" si="2"/>
        <v>0.90534240371461538</v>
      </c>
      <c r="G62" s="173">
        <f>SUMIFS(vigencia!$G:$G,vigencia!$A:$A,comparativo_g!$A62)</f>
        <v>207240984</v>
      </c>
      <c r="H62" s="173">
        <f>SUMIFS(vigencia!$L:$L,vigencia!$A:$A,comparativo_g!$A62)</f>
        <v>653666971</v>
      </c>
      <c r="I62" s="173">
        <f>SUMIFS(vigencia!$N:$N,vigencia!$A:$A,comparativo_g!$A62)</f>
        <v>620111400</v>
      </c>
      <c r="J62" s="110">
        <f t="shared" si="13"/>
        <v>0.94866564705163914</v>
      </c>
      <c r="K62" s="140">
        <f t="shared" si="4"/>
        <v>0.76728527981194716</v>
      </c>
      <c r="L62" s="111" t="s">
        <v>980</v>
      </c>
    </row>
    <row r="63" spans="1:12" x14ac:dyDescent="0.3">
      <c r="K63" s="195"/>
    </row>
    <row r="64" spans="1:12" s="124" customFormat="1" ht="79.5" customHeight="1" x14ac:dyDescent="0.25">
      <c r="A64" s="121" t="s">
        <v>222</v>
      </c>
      <c r="B64" s="121"/>
      <c r="C64" s="174">
        <f>SUM(C54:C63)</f>
        <v>6821399236</v>
      </c>
      <c r="D64" s="174">
        <f>SUM(D54:D63)</f>
        <v>17446205705</v>
      </c>
      <c r="E64" s="174">
        <f t="shared" ref="E64:I64" si="14">SUM(E54:E63)</f>
        <v>11550332454</v>
      </c>
      <c r="F64" s="127">
        <f>+E64/D64</f>
        <v>0.66205412508060302</v>
      </c>
      <c r="G64" s="174">
        <f t="shared" si="14"/>
        <v>7215252047</v>
      </c>
      <c r="H64" s="174">
        <f t="shared" si="14"/>
        <v>17632584138</v>
      </c>
      <c r="I64" s="174">
        <f t="shared" si="14"/>
        <v>12801767300</v>
      </c>
      <c r="J64" s="127">
        <f>+I64/H64</f>
        <v>0.72602899267673981</v>
      </c>
      <c r="K64" s="146">
        <f t="shared" si="4"/>
        <v>0.10834621868971531</v>
      </c>
      <c r="L64" s="128" t="s">
        <v>981</v>
      </c>
    </row>
    <row r="65" spans="1:12" s="88" customFormat="1" ht="16.2" customHeight="1" x14ac:dyDescent="0.25">
      <c r="A65" s="102"/>
      <c r="B65" s="102"/>
      <c r="C65" s="182"/>
      <c r="D65" s="182"/>
      <c r="E65" s="182"/>
      <c r="F65" s="147"/>
      <c r="G65" s="182"/>
      <c r="H65" s="182"/>
      <c r="I65" s="182"/>
      <c r="J65" s="96"/>
      <c r="K65" s="147"/>
      <c r="L65" s="94"/>
    </row>
    <row r="66" spans="1:12" s="124" customFormat="1" ht="68.400000000000006" customHeight="1" x14ac:dyDescent="0.25">
      <c r="A66" s="121" t="s">
        <v>780</v>
      </c>
      <c r="B66" s="121"/>
      <c r="C66" s="174">
        <f>C43+C51+C64</f>
        <v>13740636534</v>
      </c>
      <c r="D66" s="174">
        <f t="shared" ref="D66:H66" si="15">D43+D51+D64</f>
        <v>24365443003</v>
      </c>
      <c r="E66" s="174">
        <f t="shared" si="15"/>
        <v>16917857425</v>
      </c>
      <c r="F66" s="141">
        <f t="shared" si="2"/>
        <v>0.69433818309467987</v>
      </c>
      <c r="G66" s="174">
        <f t="shared" si="15"/>
        <v>14533479602</v>
      </c>
      <c r="H66" s="174">
        <f t="shared" si="15"/>
        <v>24950811693</v>
      </c>
      <c r="I66" s="174">
        <f>I43+I51+I64</f>
        <v>18989338934</v>
      </c>
      <c r="J66" s="127">
        <f>+I66/H66</f>
        <v>0.76107098909842263</v>
      </c>
      <c r="K66" s="146">
        <f>(I66-E66)/E66</f>
        <v>0.12244349015135408</v>
      </c>
      <c r="L66" s="123" t="s">
        <v>982</v>
      </c>
    </row>
  </sheetData>
  <autoFilter ref="A6:L43" xr:uid="{BE94DCB9-F745-449B-B21A-E15B4124E946}"/>
  <mergeCells count="9">
    <mergeCell ref="A1:L1"/>
    <mergeCell ref="A2:L2"/>
    <mergeCell ref="A3:L3"/>
    <mergeCell ref="A5:A6"/>
    <mergeCell ref="C5:F5"/>
    <mergeCell ref="G5:J5"/>
    <mergeCell ref="K5:K6"/>
    <mergeCell ref="L5:L6"/>
    <mergeCell ref="B5:B6"/>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7F1C9-3334-43DF-9D12-CAC209C079C7}">
  <sheetPr>
    <tabColor rgb="FF00B050"/>
    <pageSetUpPr fitToPage="1"/>
  </sheetPr>
  <dimension ref="A1:K145"/>
  <sheetViews>
    <sheetView topLeftCell="A5" zoomScale="120" zoomScaleNormal="120" workbookViewId="0">
      <pane xSplit="5" ySplit="2" topLeftCell="F75" activePane="bottomRight" state="frozen"/>
      <selection activeCell="A5" sqref="A5"/>
      <selection pane="topRight" activeCell="F5" sqref="F5"/>
      <selection pane="bottomLeft" activeCell="A7" sqref="A7"/>
      <selection pane="bottomRight" activeCell="F7" sqref="F7"/>
    </sheetView>
  </sheetViews>
  <sheetFormatPr baseColWidth="10" defaultColWidth="11.44140625" defaultRowHeight="13.2" x14ac:dyDescent="0.25"/>
  <cols>
    <col min="1" max="1" width="47.109375" style="354" customWidth="1"/>
    <col min="2" max="5" width="1.6640625" style="462" customWidth="1"/>
    <col min="6" max="8" width="15.6640625" style="354" customWidth="1"/>
    <col min="9" max="9" width="11.33203125" style="460" customWidth="1"/>
    <col min="10" max="10" width="8.109375" style="354" customWidth="1"/>
    <col min="11" max="11" width="62" style="461" customWidth="1"/>
    <col min="12" max="16384" width="11.44140625" style="354"/>
  </cols>
  <sheetData>
    <row r="1" spans="1:11" ht="16.5" customHeight="1" x14ac:dyDescent="0.25">
      <c r="A1" s="584" t="s">
        <v>254</v>
      </c>
      <c r="B1" s="584"/>
      <c r="C1" s="584"/>
      <c r="D1" s="584"/>
      <c r="E1" s="584"/>
      <c r="F1" s="584"/>
      <c r="G1" s="584"/>
      <c r="H1" s="584"/>
      <c r="I1" s="584"/>
      <c r="J1" s="584"/>
      <c r="K1" s="584"/>
    </row>
    <row r="2" spans="1:11" ht="16.5" customHeight="1" x14ac:dyDescent="0.25">
      <c r="A2" s="585" t="s">
        <v>770</v>
      </c>
      <c r="B2" s="585"/>
      <c r="C2" s="585"/>
      <c r="D2" s="585"/>
      <c r="E2" s="585"/>
      <c r="F2" s="585"/>
      <c r="G2" s="585"/>
      <c r="H2" s="585"/>
      <c r="I2" s="585"/>
      <c r="J2" s="585"/>
      <c r="K2" s="585"/>
    </row>
    <row r="3" spans="1:11" ht="16.5" customHeight="1" x14ac:dyDescent="0.25">
      <c r="A3" s="585" t="s">
        <v>994</v>
      </c>
      <c r="B3" s="585"/>
      <c r="C3" s="585"/>
      <c r="D3" s="585"/>
      <c r="E3" s="585"/>
      <c r="F3" s="585"/>
      <c r="G3" s="585"/>
      <c r="H3" s="585"/>
      <c r="I3" s="585"/>
      <c r="J3" s="585"/>
      <c r="K3" s="585"/>
    </row>
    <row r="4" spans="1:11" ht="9" customHeight="1" thickBot="1" x14ac:dyDescent="0.3">
      <c r="A4" s="89"/>
      <c r="B4" s="90"/>
      <c r="C4" s="90"/>
      <c r="D4" s="90"/>
      <c r="E4" s="90"/>
      <c r="F4" s="89"/>
      <c r="G4" s="89"/>
      <c r="H4" s="89"/>
      <c r="I4" s="205"/>
      <c r="J4" s="89"/>
      <c r="K4" s="91"/>
    </row>
    <row r="5" spans="1:11" s="355" customFormat="1" ht="18" customHeight="1" thickBot="1" x14ac:dyDescent="0.3">
      <c r="A5" s="582" t="s">
        <v>771</v>
      </c>
      <c r="B5" s="588">
        <v>2019</v>
      </c>
      <c r="C5" s="589"/>
      <c r="D5" s="589"/>
      <c r="E5" s="590"/>
      <c r="F5" s="591">
        <v>2020</v>
      </c>
      <c r="G5" s="592"/>
      <c r="H5" s="592"/>
      <c r="I5" s="593"/>
      <c r="J5" s="594" t="s">
        <v>772</v>
      </c>
      <c r="K5" s="586" t="s">
        <v>773</v>
      </c>
    </row>
    <row r="6" spans="1:11" s="355" customFormat="1" ht="35.25" customHeight="1" thickBot="1" x14ac:dyDescent="0.3">
      <c r="A6" s="583"/>
      <c r="B6" s="356" t="s">
        <v>774</v>
      </c>
      <c r="C6" s="357" t="s">
        <v>775</v>
      </c>
      <c r="D6" s="357" t="s">
        <v>776</v>
      </c>
      <c r="E6" s="358" t="s">
        <v>777</v>
      </c>
      <c r="F6" s="359" t="s">
        <v>778</v>
      </c>
      <c r="G6" s="360" t="s">
        <v>779</v>
      </c>
      <c r="H6" s="361" t="s">
        <v>776</v>
      </c>
      <c r="I6" s="362" t="s">
        <v>777</v>
      </c>
      <c r="J6" s="595"/>
      <c r="K6" s="587"/>
    </row>
    <row r="7" spans="1:11" s="355" customFormat="1" ht="12" x14ac:dyDescent="0.25">
      <c r="A7" s="363" t="s">
        <v>166</v>
      </c>
      <c r="B7" s="364"/>
      <c r="C7" s="365"/>
      <c r="D7" s="365"/>
      <c r="E7" s="465"/>
      <c r="F7" s="366"/>
      <c r="G7" s="367"/>
      <c r="H7" s="368"/>
      <c r="I7" s="466"/>
      <c r="J7" s="467"/>
      <c r="K7" s="369"/>
    </row>
    <row r="8" spans="1:11" s="355" customFormat="1" ht="10.5" customHeight="1" thickBot="1" x14ac:dyDescent="0.3">
      <c r="A8" s="370"/>
      <c r="B8" s="371"/>
      <c r="C8" s="372"/>
      <c r="D8" s="372"/>
      <c r="E8" s="373"/>
      <c r="F8" s="374"/>
      <c r="G8" s="375"/>
      <c r="H8" s="376"/>
      <c r="I8" s="468"/>
      <c r="J8" s="377"/>
      <c r="K8" s="378"/>
    </row>
    <row r="9" spans="1:11" s="382" customFormat="1" ht="12" x14ac:dyDescent="0.25">
      <c r="A9" s="379" t="s">
        <v>35</v>
      </c>
      <c r="B9" s="364">
        <v>5666200000</v>
      </c>
      <c r="C9" s="365">
        <v>5814200000</v>
      </c>
      <c r="D9" s="365">
        <v>5123549168</v>
      </c>
      <c r="E9" s="465">
        <v>0.88121309346083732</v>
      </c>
      <c r="F9" s="380">
        <v>5949510000</v>
      </c>
      <c r="G9" s="381">
        <v>5949510000</v>
      </c>
      <c r="H9" s="381">
        <v>4701673507</v>
      </c>
      <c r="I9" s="469">
        <v>0.79026230849263213</v>
      </c>
      <c r="J9" s="470">
        <v>-8.2340511853559714E-2</v>
      </c>
      <c r="K9" s="471"/>
    </row>
    <row r="10" spans="1:11" s="386" customFormat="1" ht="11.4" x14ac:dyDescent="0.25">
      <c r="A10" s="383" t="s">
        <v>813</v>
      </c>
      <c r="B10" s="384">
        <v>2600000000</v>
      </c>
      <c r="C10" s="385">
        <v>2600000000</v>
      </c>
      <c r="D10" s="464">
        <v>2378320323</v>
      </c>
      <c r="E10" s="472">
        <v>0.91473858576923073</v>
      </c>
      <c r="F10" s="385">
        <v>2800000000</v>
      </c>
      <c r="G10" s="385">
        <v>2800000000</v>
      </c>
      <c r="H10" s="385">
        <v>2582484636</v>
      </c>
      <c r="I10" s="472">
        <v>0.92231594142857143</v>
      </c>
      <c r="J10" s="473">
        <v>8.5843908840028862E-2</v>
      </c>
      <c r="K10" s="474"/>
    </row>
    <row r="11" spans="1:11" s="386" customFormat="1" ht="11.4" x14ac:dyDescent="0.25">
      <c r="A11" s="383" t="s">
        <v>38</v>
      </c>
      <c r="B11" s="384">
        <v>30000000</v>
      </c>
      <c r="C11" s="385">
        <v>30000000</v>
      </c>
      <c r="D11" s="464">
        <v>14550357</v>
      </c>
      <c r="E11" s="472">
        <v>0.4850119</v>
      </c>
      <c r="F11" s="385">
        <v>35000000</v>
      </c>
      <c r="G11" s="385">
        <v>35000000</v>
      </c>
      <c r="H11" s="385">
        <v>5295610</v>
      </c>
      <c r="I11" s="472">
        <v>0.15130314285714286</v>
      </c>
      <c r="J11" s="473">
        <v>-0.63604947974816017</v>
      </c>
      <c r="K11" s="475" t="s">
        <v>836</v>
      </c>
    </row>
    <row r="12" spans="1:11" s="386" customFormat="1" ht="11.4" x14ac:dyDescent="0.25">
      <c r="A12" s="383" t="s">
        <v>40</v>
      </c>
      <c r="B12" s="384">
        <v>600000000</v>
      </c>
      <c r="C12" s="385">
        <v>600000000</v>
      </c>
      <c r="D12" s="464">
        <v>489904031</v>
      </c>
      <c r="E12" s="472">
        <v>0.81650671833333333</v>
      </c>
      <c r="F12" s="385">
        <v>635000000</v>
      </c>
      <c r="G12" s="385">
        <v>635000000</v>
      </c>
      <c r="H12" s="385">
        <v>472632748</v>
      </c>
      <c r="I12" s="472">
        <v>0.74430354015748035</v>
      </c>
      <c r="J12" s="473">
        <v>-3.525442108476956E-2</v>
      </c>
      <c r="K12" s="475"/>
    </row>
    <row r="13" spans="1:11" s="386" customFormat="1" ht="11.4" x14ac:dyDescent="0.25">
      <c r="A13" s="383" t="s">
        <v>529</v>
      </c>
      <c r="B13" s="384">
        <v>400000</v>
      </c>
      <c r="C13" s="385">
        <v>400000</v>
      </c>
      <c r="D13" s="464">
        <v>334200</v>
      </c>
      <c r="E13" s="472">
        <v>0.83550000000000002</v>
      </c>
      <c r="F13" s="385">
        <v>450000</v>
      </c>
      <c r="G13" s="385">
        <v>450000</v>
      </c>
      <c r="H13" s="385">
        <v>339600</v>
      </c>
      <c r="I13" s="472">
        <v>0.75466666666666671</v>
      </c>
      <c r="J13" s="473">
        <v>1.615798922800718E-2</v>
      </c>
      <c r="K13" s="475" t="s">
        <v>783</v>
      </c>
    </row>
    <row r="14" spans="1:11" s="386" customFormat="1" ht="11.4" x14ac:dyDescent="0.25">
      <c r="A14" s="383" t="s">
        <v>812</v>
      </c>
      <c r="B14" s="384">
        <v>120000000</v>
      </c>
      <c r="C14" s="385">
        <v>120000000</v>
      </c>
      <c r="D14" s="464">
        <v>48547924</v>
      </c>
      <c r="E14" s="472">
        <v>0.40456603333333335</v>
      </c>
      <c r="F14" s="385">
        <v>90000000</v>
      </c>
      <c r="G14" s="385">
        <v>90000000</v>
      </c>
      <c r="H14" s="385">
        <v>26903607</v>
      </c>
      <c r="I14" s="472">
        <v>0.29892896666666668</v>
      </c>
      <c r="J14" s="473">
        <v>-0.44583403813518369</v>
      </c>
      <c r="K14" s="475" t="s">
        <v>995</v>
      </c>
    </row>
    <row r="15" spans="1:11" s="386" customFormat="1" ht="11.4" x14ac:dyDescent="0.25">
      <c r="A15" s="383" t="s">
        <v>811</v>
      </c>
      <c r="B15" s="384">
        <v>5000000</v>
      </c>
      <c r="C15" s="385">
        <v>5000000</v>
      </c>
      <c r="D15" s="464">
        <v>0</v>
      </c>
      <c r="E15" s="472">
        <v>0</v>
      </c>
      <c r="F15" s="385">
        <v>6000000</v>
      </c>
      <c r="G15" s="385">
        <v>6000000</v>
      </c>
      <c r="H15" s="385">
        <v>0</v>
      </c>
      <c r="I15" s="472">
        <v>0</v>
      </c>
      <c r="J15" s="473">
        <v>0</v>
      </c>
      <c r="K15" s="475"/>
    </row>
    <row r="16" spans="1:11" s="390" customFormat="1" ht="30" customHeight="1" x14ac:dyDescent="0.25">
      <c r="A16" s="387" t="s">
        <v>810</v>
      </c>
      <c r="B16" s="388">
        <v>500000000</v>
      </c>
      <c r="C16" s="385">
        <v>500000000</v>
      </c>
      <c r="D16" s="464">
        <v>500000000</v>
      </c>
      <c r="E16" s="476">
        <v>1</v>
      </c>
      <c r="F16" s="389">
        <v>500000000</v>
      </c>
      <c r="G16" s="389">
        <v>500000000</v>
      </c>
      <c r="H16" s="389">
        <v>142486777</v>
      </c>
      <c r="I16" s="476">
        <v>0.28497355400000002</v>
      </c>
      <c r="J16" s="477">
        <v>-0.71502644599999998</v>
      </c>
      <c r="K16" s="475" t="s">
        <v>935</v>
      </c>
    </row>
    <row r="17" spans="1:11" s="386" customFormat="1" ht="30.75" customHeight="1" x14ac:dyDescent="0.25">
      <c r="A17" s="383" t="s">
        <v>52</v>
      </c>
      <c r="B17" s="384">
        <v>535800000</v>
      </c>
      <c r="C17" s="385">
        <v>683800000</v>
      </c>
      <c r="D17" s="464">
        <v>657424802</v>
      </c>
      <c r="E17" s="472">
        <v>0.96142849078677972</v>
      </c>
      <c r="F17" s="385">
        <v>500000000</v>
      </c>
      <c r="G17" s="385">
        <v>500000000</v>
      </c>
      <c r="H17" s="385">
        <v>324981419</v>
      </c>
      <c r="I17" s="472">
        <v>0.64996283799999999</v>
      </c>
      <c r="J17" s="473">
        <v>-0.50567514640252342</v>
      </c>
      <c r="K17" s="475" t="s">
        <v>935</v>
      </c>
    </row>
    <row r="18" spans="1:11" s="386" customFormat="1" ht="22.8" x14ac:dyDescent="0.25">
      <c r="A18" s="383" t="s">
        <v>809</v>
      </c>
      <c r="B18" s="384">
        <v>197000000</v>
      </c>
      <c r="C18" s="385">
        <v>197000000</v>
      </c>
      <c r="D18" s="464">
        <v>154063700</v>
      </c>
      <c r="E18" s="472">
        <v>0.78204923857868025</v>
      </c>
      <c r="F18" s="385">
        <v>208000000</v>
      </c>
      <c r="G18" s="385">
        <v>208000000</v>
      </c>
      <c r="H18" s="385">
        <v>166098750</v>
      </c>
      <c r="I18" s="472">
        <v>0.7985516826923077</v>
      </c>
      <c r="J18" s="473">
        <v>7.8117363142648139E-2</v>
      </c>
      <c r="K18" s="475" t="s">
        <v>945</v>
      </c>
    </row>
    <row r="19" spans="1:11" s="355" customFormat="1" ht="22.8" x14ac:dyDescent="0.25">
      <c r="A19" s="383" t="s">
        <v>808</v>
      </c>
      <c r="B19" s="384">
        <v>70000000</v>
      </c>
      <c r="C19" s="385">
        <v>70000000</v>
      </c>
      <c r="D19" s="385">
        <v>55014900</v>
      </c>
      <c r="E19" s="472">
        <v>0.78592714285714282</v>
      </c>
      <c r="F19" s="385">
        <v>75000000</v>
      </c>
      <c r="G19" s="385">
        <v>75000000</v>
      </c>
      <c r="H19" s="385">
        <v>62104300</v>
      </c>
      <c r="I19" s="472">
        <v>0.82805733333333331</v>
      </c>
      <c r="J19" s="473">
        <v>0.12886327158642477</v>
      </c>
      <c r="K19" s="475" t="s">
        <v>945</v>
      </c>
    </row>
    <row r="20" spans="1:11" s="386" customFormat="1" ht="22.8" x14ac:dyDescent="0.25">
      <c r="A20" s="383" t="s">
        <v>807</v>
      </c>
      <c r="B20" s="384">
        <v>242000000</v>
      </c>
      <c r="C20" s="385">
        <v>242000000</v>
      </c>
      <c r="D20" s="464">
        <v>205834517</v>
      </c>
      <c r="E20" s="472">
        <v>0.85055585537190082</v>
      </c>
      <c r="F20" s="385">
        <v>270000000</v>
      </c>
      <c r="G20" s="385">
        <v>270000000</v>
      </c>
      <c r="H20" s="385">
        <v>224378844</v>
      </c>
      <c r="I20" s="472">
        <v>0.83103275555555556</v>
      </c>
      <c r="J20" s="473">
        <v>9.0093378264637702E-2</v>
      </c>
      <c r="K20" s="475" t="s">
        <v>945</v>
      </c>
    </row>
    <row r="21" spans="1:11" s="386" customFormat="1" ht="22.8" x14ac:dyDescent="0.25">
      <c r="A21" s="383" t="s">
        <v>806</v>
      </c>
      <c r="B21" s="384">
        <v>164000000</v>
      </c>
      <c r="C21" s="385">
        <v>164000000</v>
      </c>
      <c r="D21" s="464">
        <v>136510300</v>
      </c>
      <c r="E21" s="472">
        <v>0.83237987804878044</v>
      </c>
      <c r="F21" s="385">
        <v>180000000</v>
      </c>
      <c r="G21" s="385">
        <v>180000000</v>
      </c>
      <c r="H21" s="385">
        <v>150658575</v>
      </c>
      <c r="I21" s="472">
        <v>0.8369920833333333</v>
      </c>
      <c r="J21" s="473">
        <v>0.10364254565406419</v>
      </c>
      <c r="K21" s="475" t="s">
        <v>945</v>
      </c>
    </row>
    <row r="22" spans="1:11" s="386" customFormat="1" ht="11.4" x14ac:dyDescent="0.25">
      <c r="A22" s="383" t="s">
        <v>805</v>
      </c>
      <c r="B22" s="384">
        <v>280000000</v>
      </c>
      <c r="C22" s="385">
        <v>280000000</v>
      </c>
      <c r="D22" s="464">
        <v>242339606</v>
      </c>
      <c r="E22" s="472">
        <v>0.86549859285714281</v>
      </c>
      <c r="F22" s="385">
        <v>300000000</v>
      </c>
      <c r="G22" s="385">
        <v>300000000</v>
      </c>
      <c r="H22" s="385">
        <v>294976941</v>
      </c>
      <c r="I22" s="472">
        <v>0.98325647000000005</v>
      </c>
      <c r="J22" s="473">
        <v>0</v>
      </c>
      <c r="K22" s="475"/>
    </row>
    <row r="23" spans="1:11" s="386" customFormat="1" ht="22.8" x14ac:dyDescent="0.25">
      <c r="A23" s="383" t="s">
        <v>804</v>
      </c>
      <c r="B23" s="384">
        <v>62000000</v>
      </c>
      <c r="C23" s="385">
        <v>62000000</v>
      </c>
      <c r="D23" s="464">
        <v>50615900</v>
      </c>
      <c r="E23" s="472">
        <v>0.81638548387096777</v>
      </c>
      <c r="F23" s="385">
        <v>67000000</v>
      </c>
      <c r="G23" s="385">
        <v>67000000</v>
      </c>
      <c r="H23" s="385">
        <v>55198100</v>
      </c>
      <c r="I23" s="472">
        <v>0.82385223880597014</v>
      </c>
      <c r="J23" s="473">
        <v>9.0528865435564709E-2</v>
      </c>
      <c r="K23" s="475" t="s">
        <v>945</v>
      </c>
    </row>
    <row r="24" spans="1:11" s="386" customFormat="1" ht="22.8" x14ac:dyDescent="0.25">
      <c r="A24" s="383" t="s">
        <v>803</v>
      </c>
      <c r="B24" s="384">
        <v>92000000</v>
      </c>
      <c r="C24" s="385">
        <v>92000000</v>
      </c>
      <c r="D24" s="464">
        <v>75702100</v>
      </c>
      <c r="E24" s="472">
        <v>0.82284891304347829</v>
      </c>
      <c r="F24" s="385">
        <v>97060000</v>
      </c>
      <c r="G24" s="385">
        <v>97060000</v>
      </c>
      <c r="H24" s="385">
        <v>82774300</v>
      </c>
      <c r="I24" s="472">
        <v>0.85281578405110237</v>
      </c>
      <c r="J24" s="473">
        <v>9.342145065988923E-2</v>
      </c>
      <c r="K24" s="475" t="s">
        <v>945</v>
      </c>
    </row>
    <row r="25" spans="1:11" s="386" customFormat="1" ht="18" customHeight="1" x14ac:dyDescent="0.25">
      <c r="A25" s="383" t="s">
        <v>802</v>
      </c>
      <c r="B25" s="384">
        <v>128000000</v>
      </c>
      <c r="C25" s="385">
        <v>128000000</v>
      </c>
      <c r="D25" s="464">
        <v>101325300</v>
      </c>
      <c r="E25" s="472">
        <v>0.79160390624999999</v>
      </c>
      <c r="F25" s="385">
        <v>136000000</v>
      </c>
      <c r="G25" s="385">
        <v>136000000</v>
      </c>
      <c r="H25" s="385">
        <v>110359300</v>
      </c>
      <c r="I25" s="472">
        <v>0.81146544117647057</v>
      </c>
      <c r="J25" s="473">
        <v>8.9158383937674002E-2</v>
      </c>
      <c r="K25" s="475" t="s">
        <v>945</v>
      </c>
    </row>
    <row r="26" spans="1:11" s="386" customFormat="1" ht="21.75" customHeight="1" x14ac:dyDescent="0.25">
      <c r="A26" s="383" t="s">
        <v>801</v>
      </c>
      <c r="B26" s="384">
        <v>40000000</v>
      </c>
      <c r="C26" s="385">
        <v>40000000</v>
      </c>
      <c r="D26" s="464">
        <v>13061208</v>
      </c>
      <c r="E26" s="472">
        <v>0.32653019999999999</v>
      </c>
      <c r="F26" s="385">
        <v>50000000</v>
      </c>
      <c r="G26" s="385">
        <v>50000000</v>
      </c>
      <c r="H26" s="385">
        <v>0</v>
      </c>
      <c r="I26" s="472">
        <v>0</v>
      </c>
      <c r="J26" s="473">
        <v>0</v>
      </c>
      <c r="K26" s="475"/>
    </row>
    <row r="27" spans="1:11" s="382" customFormat="1" ht="12" x14ac:dyDescent="0.25">
      <c r="A27" s="391" t="s">
        <v>72</v>
      </c>
      <c r="B27" s="392">
        <v>912597000</v>
      </c>
      <c r="C27" s="393">
        <v>764597000</v>
      </c>
      <c r="D27" s="393">
        <v>558637495</v>
      </c>
      <c r="E27" s="465">
        <v>0.73062998546946956</v>
      </c>
      <c r="F27" s="394">
        <v>943727298</v>
      </c>
      <c r="G27" s="392">
        <v>938734583</v>
      </c>
      <c r="H27" s="392">
        <v>637858749</v>
      </c>
      <c r="I27" s="478">
        <v>0.67948785583411275</v>
      </c>
      <c r="J27" s="479">
        <v>0.14181155885356389</v>
      </c>
      <c r="K27" s="480"/>
    </row>
    <row r="28" spans="1:11" s="386" customFormat="1" ht="11.4" x14ac:dyDescent="0.25">
      <c r="A28" s="383" t="s">
        <v>800</v>
      </c>
      <c r="B28" s="395">
        <v>0</v>
      </c>
      <c r="C28" s="385">
        <v>0</v>
      </c>
      <c r="D28" s="384">
        <v>0</v>
      </c>
      <c r="E28" s="472">
        <v>0</v>
      </c>
      <c r="F28" s="385">
        <v>0</v>
      </c>
      <c r="G28" s="385">
        <v>0</v>
      </c>
      <c r="H28" s="385">
        <v>0</v>
      </c>
      <c r="I28" s="472">
        <v>0</v>
      </c>
      <c r="J28" s="473">
        <v>0</v>
      </c>
      <c r="K28" s="475"/>
    </row>
    <row r="29" spans="1:11" s="386" customFormat="1" ht="15" customHeight="1" x14ac:dyDescent="0.25">
      <c r="A29" s="383" t="s">
        <v>73</v>
      </c>
      <c r="B29" s="395">
        <v>52000000</v>
      </c>
      <c r="C29" s="385">
        <v>52000000</v>
      </c>
      <c r="D29" s="384">
        <v>31197512</v>
      </c>
      <c r="E29" s="472">
        <v>0.59995215384615386</v>
      </c>
      <c r="F29" s="385">
        <v>25990000</v>
      </c>
      <c r="G29" s="385">
        <v>25990000</v>
      </c>
      <c r="H29" s="385">
        <v>20390926</v>
      </c>
      <c r="I29" s="472">
        <v>0.78456814159292032</v>
      </c>
      <c r="J29" s="473">
        <v>-0.34639255848350986</v>
      </c>
      <c r="K29" s="475" t="s">
        <v>936</v>
      </c>
    </row>
    <row r="30" spans="1:11" s="386" customFormat="1" ht="11.4" x14ac:dyDescent="0.25">
      <c r="A30" s="383" t="s">
        <v>799</v>
      </c>
      <c r="B30" s="395"/>
      <c r="C30" s="395"/>
      <c r="D30" s="384"/>
      <c r="E30" s="472"/>
      <c r="F30" s="385">
        <v>0</v>
      </c>
      <c r="G30" s="385">
        <v>0</v>
      </c>
      <c r="H30" s="385">
        <v>0</v>
      </c>
      <c r="I30" s="472">
        <v>0</v>
      </c>
      <c r="J30" s="473">
        <v>0</v>
      </c>
      <c r="K30" s="475"/>
    </row>
    <row r="31" spans="1:11" s="386" customFormat="1" ht="18" customHeight="1" x14ac:dyDescent="0.25">
      <c r="A31" s="383" t="s">
        <v>798</v>
      </c>
      <c r="B31" s="395">
        <v>9000000</v>
      </c>
      <c r="C31" s="385">
        <v>10500000</v>
      </c>
      <c r="D31" s="384">
        <v>5377732</v>
      </c>
      <c r="E31" s="472">
        <v>0.51216495238095239</v>
      </c>
      <c r="F31" s="385">
        <v>10000000</v>
      </c>
      <c r="G31" s="385">
        <v>10000000</v>
      </c>
      <c r="H31" s="385">
        <v>3286020</v>
      </c>
      <c r="I31" s="472">
        <v>0.32860200000000001</v>
      </c>
      <c r="J31" s="473">
        <v>-0.38895802170877986</v>
      </c>
      <c r="K31" s="475" t="s">
        <v>835</v>
      </c>
    </row>
    <row r="32" spans="1:11" s="386" customFormat="1" ht="53.25" customHeight="1" x14ac:dyDescent="0.25">
      <c r="A32" s="383" t="s">
        <v>83</v>
      </c>
      <c r="B32" s="395">
        <v>160000000</v>
      </c>
      <c r="C32" s="385">
        <v>23000000</v>
      </c>
      <c r="D32" s="384">
        <v>2083404</v>
      </c>
      <c r="E32" s="472">
        <v>9.058278260869565E-2</v>
      </c>
      <c r="F32" s="385">
        <v>170000000</v>
      </c>
      <c r="G32" s="385">
        <v>170000000</v>
      </c>
      <c r="H32" s="385">
        <v>169992766</v>
      </c>
      <c r="I32" s="472">
        <v>0.9999574470588235</v>
      </c>
      <c r="J32" s="473">
        <v>80.593760019660138</v>
      </c>
      <c r="K32" s="481" t="s">
        <v>975</v>
      </c>
    </row>
    <row r="33" spans="1:11" s="386" customFormat="1" ht="51" customHeight="1" x14ac:dyDescent="0.25">
      <c r="A33" s="383" t="s">
        <v>797</v>
      </c>
      <c r="B33" s="395">
        <v>120000000</v>
      </c>
      <c r="C33" s="385">
        <v>10000000</v>
      </c>
      <c r="D33" s="384">
        <v>0</v>
      </c>
      <c r="E33" s="472">
        <v>0</v>
      </c>
      <c r="F33" s="385">
        <v>125000000</v>
      </c>
      <c r="G33" s="385">
        <v>75000000</v>
      </c>
      <c r="H33" s="385">
        <v>68307211</v>
      </c>
      <c r="I33" s="472">
        <v>0.91076281333333331</v>
      </c>
      <c r="J33" s="473">
        <v>0</v>
      </c>
      <c r="K33" s="481" t="s">
        <v>975</v>
      </c>
    </row>
    <row r="34" spans="1:11" s="386" customFormat="1" ht="18" customHeight="1" x14ac:dyDescent="0.25">
      <c r="A34" s="383" t="s">
        <v>79</v>
      </c>
      <c r="B34" s="395">
        <v>2000000</v>
      </c>
      <c r="C34" s="385">
        <v>2000000</v>
      </c>
      <c r="D34" s="384">
        <v>0</v>
      </c>
      <c r="E34" s="472">
        <v>0</v>
      </c>
      <c r="F34" s="385">
        <v>2000000</v>
      </c>
      <c r="G34" s="385">
        <v>2000000</v>
      </c>
      <c r="H34" s="385">
        <v>0</v>
      </c>
      <c r="I34" s="472">
        <v>0</v>
      </c>
      <c r="J34" s="473">
        <v>0</v>
      </c>
      <c r="K34" s="481"/>
    </row>
    <row r="35" spans="1:11" s="386" customFormat="1" ht="18" customHeight="1" x14ac:dyDescent="0.25">
      <c r="A35" s="383" t="s">
        <v>796</v>
      </c>
      <c r="B35" s="395">
        <v>90000000</v>
      </c>
      <c r="C35" s="385">
        <v>100000000</v>
      </c>
      <c r="D35" s="384">
        <v>96699721</v>
      </c>
      <c r="E35" s="472">
        <v>0.96699721000000005</v>
      </c>
      <c r="F35" s="385">
        <v>103000000</v>
      </c>
      <c r="G35" s="385">
        <v>103000000</v>
      </c>
      <c r="H35" s="385">
        <v>88871673</v>
      </c>
      <c r="I35" s="472">
        <v>0.86283177669902911</v>
      </c>
      <c r="J35" s="473">
        <v>-8.0952126014924075E-2</v>
      </c>
      <c r="K35" s="481" t="s">
        <v>996</v>
      </c>
    </row>
    <row r="36" spans="1:11" s="386" customFormat="1" ht="18" customHeight="1" x14ac:dyDescent="0.25">
      <c r="A36" s="383" t="s">
        <v>89</v>
      </c>
      <c r="B36" s="395">
        <v>33600000</v>
      </c>
      <c r="C36" s="385">
        <v>33600000</v>
      </c>
      <c r="D36" s="384">
        <v>26326736</v>
      </c>
      <c r="E36" s="472">
        <v>0.78353380952380958</v>
      </c>
      <c r="F36" s="385">
        <v>35000000</v>
      </c>
      <c r="G36" s="385">
        <v>35000000</v>
      </c>
      <c r="H36" s="385">
        <v>23935982</v>
      </c>
      <c r="I36" s="472">
        <v>0.68388519999999997</v>
      </c>
      <c r="J36" s="473">
        <v>-9.0810877580874444E-2</v>
      </c>
      <c r="K36" s="481" t="s">
        <v>996</v>
      </c>
    </row>
    <row r="37" spans="1:11" s="386" customFormat="1" ht="18" customHeight="1" x14ac:dyDescent="0.25">
      <c r="A37" s="383" t="s">
        <v>579</v>
      </c>
      <c r="B37" s="395">
        <v>20400000</v>
      </c>
      <c r="C37" s="385">
        <v>25400000</v>
      </c>
      <c r="D37" s="384">
        <v>12128786</v>
      </c>
      <c r="E37" s="482">
        <v>0.47751125984251969</v>
      </c>
      <c r="F37" s="385">
        <v>27000000</v>
      </c>
      <c r="G37" s="385">
        <v>27000000</v>
      </c>
      <c r="H37" s="385">
        <v>7532961</v>
      </c>
      <c r="I37" s="472">
        <v>0.27899855555555558</v>
      </c>
      <c r="J37" s="473">
        <v>-0.37891879698429837</v>
      </c>
      <c r="K37" s="481" t="s">
        <v>996</v>
      </c>
    </row>
    <row r="38" spans="1:11" s="386" customFormat="1" ht="11.4" x14ac:dyDescent="0.25">
      <c r="A38" s="383" t="s">
        <v>795</v>
      </c>
      <c r="B38" s="395">
        <v>0</v>
      </c>
      <c r="C38" s="385"/>
      <c r="D38" s="384"/>
      <c r="E38" s="472">
        <v>0</v>
      </c>
      <c r="F38" s="385">
        <v>0</v>
      </c>
      <c r="G38" s="385">
        <v>0</v>
      </c>
      <c r="H38" s="385">
        <v>0</v>
      </c>
      <c r="I38" s="472">
        <v>0</v>
      </c>
      <c r="J38" s="473">
        <v>0</v>
      </c>
      <c r="K38" s="475"/>
    </row>
    <row r="39" spans="1:11" s="386" customFormat="1" ht="30" customHeight="1" x14ac:dyDescent="0.25">
      <c r="A39" s="383" t="s">
        <v>794</v>
      </c>
      <c r="B39" s="395">
        <v>82030000</v>
      </c>
      <c r="C39" s="385">
        <v>142030000</v>
      </c>
      <c r="D39" s="384">
        <v>114263006</v>
      </c>
      <c r="E39" s="472">
        <v>0.80449909174118139</v>
      </c>
      <c r="F39" s="385">
        <v>70000000</v>
      </c>
      <c r="G39" s="385">
        <v>40000000</v>
      </c>
      <c r="H39" s="385">
        <v>25503703</v>
      </c>
      <c r="I39" s="472">
        <v>0.63759257499999999</v>
      </c>
      <c r="J39" s="473">
        <v>-0.77679824912010453</v>
      </c>
      <c r="K39" s="475" t="s">
        <v>989</v>
      </c>
    </row>
    <row r="40" spans="1:11" s="386" customFormat="1" ht="12" customHeight="1" x14ac:dyDescent="0.25">
      <c r="A40" s="383" t="s">
        <v>793</v>
      </c>
      <c r="B40" s="395">
        <v>108367000</v>
      </c>
      <c r="C40" s="385">
        <v>129367000</v>
      </c>
      <c r="D40" s="384">
        <v>87186978</v>
      </c>
      <c r="E40" s="472">
        <v>0.67395068294078087</v>
      </c>
      <c r="F40" s="385">
        <v>120200000</v>
      </c>
      <c r="G40" s="385">
        <v>200200000</v>
      </c>
      <c r="H40" s="385">
        <v>100844185</v>
      </c>
      <c r="I40" s="472">
        <v>0.50371720779220774</v>
      </c>
      <c r="J40" s="473">
        <v>0.15664273855208055</v>
      </c>
      <c r="K40" s="475"/>
    </row>
    <row r="41" spans="1:11" s="386" customFormat="1" ht="11.4" x14ac:dyDescent="0.25">
      <c r="A41" s="383" t="s">
        <v>792</v>
      </c>
      <c r="B41" s="395">
        <v>2000000</v>
      </c>
      <c r="C41" s="385">
        <v>3500000</v>
      </c>
      <c r="D41" s="384">
        <v>2947699</v>
      </c>
      <c r="E41" s="472">
        <v>0.84219971428571427</v>
      </c>
      <c r="F41" s="385">
        <v>3500000</v>
      </c>
      <c r="G41" s="385">
        <v>3500000</v>
      </c>
      <c r="H41" s="385">
        <v>2897909</v>
      </c>
      <c r="I41" s="472">
        <v>0.82797399999999999</v>
      </c>
      <c r="J41" s="473">
        <v>-1.6891141191824537E-2</v>
      </c>
      <c r="K41" s="483"/>
    </row>
    <row r="42" spans="1:11" s="386" customFormat="1" ht="11.4" x14ac:dyDescent="0.25">
      <c r="A42" s="383" t="s">
        <v>791</v>
      </c>
      <c r="B42" s="395">
        <v>65000000</v>
      </c>
      <c r="C42" s="385">
        <v>65000000</v>
      </c>
      <c r="D42" s="384">
        <v>58622181</v>
      </c>
      <c r="E42" s="472">
        <v>0.90187970769230774</v>
      </c>
      <c r="F42" s="385">
        <v>80000000</v>
      </c>
      <c r="G42" s="385">
        <v>75007285</v>
      </c>
      <c r="H42" s="385">
        <v>51680422</v>
      </c>
      <c r="I42" s="472">
        <v>0.68900536794526024</v>
      </c>
      <c r="J42" s="473">
        <v>-0.11841522921161872</v>
      </c>
      <c r="K42" s="483"/>
    </row>
    <row r="43" spans="1:11" s="386" customFormat="1" ht="11.4" x14ac:dyDescent="0.25">
      <c r="A43" s="383" t="s">
        <v>790</v>
      </c>
      <c r="B43" s="395">
        <v>40000000</v>
      </c>
      <c r="C43" s="385">
        <v>40000000</v>
      </c>
      <c r="D43" s="384">
        <v>36704922</v>
      </c>
      <c r="E43" s="472">
        <v>0.91762305</v>
      </c>
      <c r="F43" s="385">
        <v>41360000</v>
      </c>
      <c r="G43" s="385">
        <v>41360000</v>
      </c>
      <c r="H43" s="385">
        <v>9000000</v>
      </c>
      <c r="I43" s="472">
        <v>0.21760154738878143</v>
      </c>
      <c r="J43" s="473">
        <v>-0.7548012770603354</v>
      </c>
      <c r="K43" s="475"/>
    </row>
    <row r="44" spans="1:11" s="386" customFormat="1" ht="17.25" customHeight="1" x14ac:dyDescent="0.25">
      <c r="A44" s="383" t="s">
        <v>789</v>
      </c>
      <c r="B44" s="395">
        <v>60000000</v>
      </c>
      <c r="C44" s="385">
        <v>60000000</v>
      </c>
      <c r="D44" s="384">
        <v>53610656</v>
      </c>
      <c r="E44" s="472">
        <v>0.89351093333333331</v>
      </c>
      <c r="F44" s="385">
        <v>62040000</v>
      </c>
      <c r="G44" s="385">
        <v>62040000</v>
      </c>
      <c r="H44" s="385">
        <v>40217745</v>
      </c>
      <c r="I44" s="472">
        <v>0.6482550773694391</v>
      </c>
      <c r="J44" s="473">
        <v>-0.24981807721211247</v>
      </c>
      <c r="K44" s="475" t="s">
        <v>990</v>
      </c>
    </row>
    <row r="45" spans="1:11" s="396" customFormat="1" ht="12" x14ac:dyDescent="0.25">
      <c r="A45" s="383" t="s">
        <v>237</v>
      </c>
      <c r="B45" s="395">
        <v>68200000</v>
      </c>
      <c r="C45" s="385">
        <v>68200000</v>
      </c>
      <c r="D45" s="384">
        <v>31488162</v>
      </c>
      <c r="E45" s="472">
        <v>0.46170325513196481</v>
      </c>
      <c r="F45" s="385">
        <v>68637298</v>
      </c>
      <c r="G45" s="385">
        <v>68637298</v>
      </c>
      <c r="H45" s="385">
        <v>25397246</v>
      </c>
      <c r="I45" s="472">
        <v>0.37002106347484714</v>
      </c>
      <c r="J45" s="473">
        <v>-0.19343510745403306</v>
      </c>
      <c r="K45" s="475" t="s">
        <v>946</v>
      </c>
    </row>
    <row r="46" spans="1:11" s="355" customFormat="1" ht="12" x14ac:dyDescent="0.25">
      <c r="A46" s="391" t="s">
        <v>200</v>
      </c>
      <c r="B46" s="397">
        <v>23000000</v>
      </c>
      <c r="C46" s="397">
        <v>23000000</v>
      </c>
      <c r="D46" s="397">
        <v>18501402</v>
      </c>
      <c r="E46" s="465">
        <v>0.80440878260869564</v>
      </c>
      <c r="F46" s="398">
        <v>26000000</v>
      </c>
      <c r="G46" s="397">
        <v>30992715</v>
      </c>
      <c r="H46" s="399">
        <v>27992715</v>
      </c>
      <c r="I46" s="478">
        <v>0.90320305917051802</v>
      </c>
      <c r="J46" s="484">
        <v>0.51300506848075622</v>
      </c>
      <c r="K46" s="485"/>
    </row>
    <row r="47" spans="1:11" s="386" customFormat="1" ht="11.4" x14ac:dyDescent="0.25">
      <c r="A47" s="383" t="s">
        <v>103</v>
      </c>
      <c r="B47" s="400">
        <v>3000000</v>
      </c>
      <c r="C47" s="401">
        <v>3000000</v>
      </c>
      <c r="D47" s="402">
        <v>0</v>
      </c>
      <c r="E47" s="472">
        <v>0</v>
      </c>
      <c r="F47" s="401">
        <v>3000000</v>
      </c>
      <c r="G47" s="401">
        <v>3000000</v>
      </c>
      <c r="H47" s="401">
        <v>0</v>
      </c>
      <c r="I47" s="472">
        <v>0</v>
      </c>
      <c r="J47" s="473">
        <v>0</v>
      </c>
      <c r="K47" s="475"/>
    </row>
    <row r="48" spans="1:11" s="386" customFormat="1" ht="12" thickBot="1" x14ac:dyDescent="0.3">
      <c r="A48" s="403" t="s">
        <v>788</v>
      </c>
      <c r="B48" s="400">
        <v>20000000</v>
      </c>
      <c r="C48" s="401">
        <v>20000000</v>
      </c>
      <c r="D48" s="402">
        <v>18501402</v>
      </c>
      <c r="E48" s="472">
        <v>0.92507010000000001</v>
      </c>
      <c r="F48" s="401">
        <v>23000000</v>
      </c>
      <c r="G48" s="401">
        <v>27992715</v>
      </c>
      <c r="H48" s="401">
        <v>27992715</v>
      </c>
      <c r="I48" s="472">
        <v>1</v>
      </c>
      <c r="J48" s="473">
        <v>0.51300506848075622</v>
      </c>
      <c r="K48" s="486" t="s">
        <v>947</v>
      </c>
    </row>
    <row r="49" spans="1:11" s="355" customFormat="1" ht="12.6" thickBot="1" x14ac:dyDescent="0.3">
      <c r="A49" s="404" t="s">
        <v>781</v>
      </c>
      <c r="B49" s="405">
        <v>6601797000</v>
      </c>
      <c r="C49" s="406">
        <v>6601797000</v>
      </c>
      <c r="D49" s="406">
        <v>5700688065</v>
      </c>
      <c r="E49" s="487">
        <v>0.86350550690970962</v>
      </c>
      <c r="F49" s="407">
        <v>6919237298</v>
      </c>
      <c r="G49" s="408">
        <v>6919237298</v>
      </c>
      <c r="H49" s="408">
        <v>5367524971</v>
      </c>
      <c r="I49" s="488">
        <v>0.77573939725285601</v>
      </c>
      <c r="J49" s="489">
        <v>-5.8442610821927157E-2</v>
      </c>
      <c r="K49" s="490"/>
    </row>
    <row r="50" spans="1:11" s="355" customFormat="1" ht="12" thickBot="1" x14ac:dyDescent="0.3">
      <c r="D50" s="453">
        <v>0</v>
      </c>
      <c r="I50" s="409"/>
      <c r="K50" s="410"/>
    </row>
    <row r="51" spans="1:11" s="355" customFormat="1" ht="12" x14ac:dyDescent="0.25">
      <c r="A51" s="379" t="s">
        <v>784</v>
      </c>
      <c r="B51" s="411">
        <v>0</v>
      </c>
      <c r="C51" s="412">
        <v>0</v>
      </c>
      <c r="D51" s="412">
        <v>0</v>
      </c>
      <c r="E51" s="491">
        <v>0</v>
      </c>
      <c r="F51" s="411">
        <v>0</v>
      </c>
      <c r="G51" s="412">
        <v>0</v>
      </c>
      <c r="H51" s="412">
        <v>0</v>
      </c>
      <c r="I51" s="488">
        <v>0</v>
      </c>
      <c r="J51" s="413">
        <v>0</v>
      </c>
      <c r="K51" s="414"/>
    </row>
    <row r="52" spans="1:11" s="355" customFormat="1" ht="12.6" thickBot="1" x14ac:dyDescent="0.3">
      <c r="A52" s="415"/>
      <c r="B52" s="416">
        <v>0</v>
      </c>
      <c r="C52" s="417">
        <v>0</v>
      </c>
      <c r="D52" s="417">
        <v>0</v>
      </c>
      <c r="E52" s="472">
        <v>0</v>
      </c>
      <c r="F52" s="418">
        <v>0</v>
      </c>
      <c r="G52" s="419">
        <v>0</v>
      </c>
      <c r="H52" s="419">
        <v>0</v>
      </c>
      <c r="I52" s="472"/>
      <c r="J52" s="473"/>
      <c r="K52" s="420"/>
    </row>
    <row r="53" spans="1:11" s="355" customFormat="1" ht="12" x14ac:dyDescent="0.25">
      <c r="A53" s="421" t="s">
        <v>785</v>
      </c>
      <c r="B53" s="411">
        <v>0</v>
      </c>
      <c r="C53" s="412">
        <v>0</v>
      </c>
      <c r="D53" s="412">
        <v>0</v>
      </c>
      <c r="E53" s="491">
        <v>0</v>
      </c>
      <c r="F53" s="422">
        <v>0</v>
      </c>
      <c r="G53" s="422">
        <v>0</v>
      </c>
      <c r="H53" s="422">
        <v>0</v>
      </c>
      <c r="I53" s="488">
        <v>0</v>
      </c>
      <c r="J53" s="492">
        <v>0</v>
      </c>
      <c r="K53" s="493"/>
    </row>
    <row r="54" spans="1:11" s="355" customFormat="1" ht="12" thickBot="1" x14ac:dyDescent="0.3">
      <c r="A54" s="383"/>
      <c r="B54" s="423">
        <v>0</v>
      </c>
      <c r="C54" s="424">
        <v>0</v>
      </c>
      <c r="D54" s="424">
        <v>0</v>
      </c>
      <c r="E54" s="472"/>
      <c r="F54" s="385">
        <v>0</v>
      </c>
      <c r="G54" s="384">
        <v>0</v>
      </c>
      <c r="H54" s="384">
        <v>0</v>
      </c>
      <c r="I54" s="472"/>
      <c r="J54" s="473"/>
      <c r="K54" s="494"/>
    </row>
    <row r="55" spans="1:11" s="355" customFormat="1" ht="12" x14ac:dyDescent="0.25">
      <c r="A55" s="421" t="s">
        <v>786</v>
      </c>
      <c r="B55" s="411">
        <v>0</v>
      </c>
      <c r="C55" s="412">
        <v>0</v>
      </c>
      <c r="D55" s="412">
        <v>0</v>
      </c>
      <c r="E55" s="491">
        <v>0</v>
      </c>
      <c r="F55" s="422">
        <v>0</v>
      </c>
      <c r="G55" s="425">
        <v>0</v>
      </c>
      <c r="H55" s="425">
        <v>0</v>
      </c>
      <c r="I55" s="488">
        <v>0</v>
      </c>
      <c r="J55" s="492">
        <v>0</v>
      </c>
      <c r="K55" s="493"/>
    </row>
    <row r="56" spans="1:11" s="355" customFormat="1" ht="12" thickBot="1" x14ac:dyDescent="0.3">
      <c r="A56" s="383"/>
      <c r="B56" s="423">
        <v>0</v>
      </c>
      <c r="C56" s="424">
        <v>0</v>
      </c>
      <c r="D56" s="424">
        <v>0</v>
      </c>
      <c r="E56" s="472"/>
      <c r="F56" s="385">
        <v>0</v>
      </c>
      <c r="G56" s="384">
        <v>0</v>
      </c>
      <c r="H56" s="384">
        <v>0</v>
      </c>
      <c r="I56" s="472"/>
      <c r="J56" s="473"/>
      <c r="K56" s="494"/>
    </row>
    <row r="57" spans="1:11" s="355" customFormat="1" ht="12.6" thickBot="1" x14ac:dyDescent="0.3">
      <c r="A57" s="426" t="s">
        <v>787</v>
      </c>
      <c r="B57" s="411">
        <v>0</v>
      </c>
      <c r="C57" s="412">
        <v>0</v>
      </c>
      <c r="D57" s="412">
        <v>0</v>
      </c>
      <c r="E57" s="491">
        <v>0</v>
      </c>
      <c r="F57" s="427">
        <v>0</v>
      </c>
      <c r="G57" s="428">
        <v>0</v>
      </c>
      <c r="H57" s="428">
        <v>0</v>
      </c>
      <c r="I57" s="488">
        <v>0</v>
      </c>
      <c r="J57" s="495">
        <v>0</v>
      </c>
      <c r="K57" s="496"/>
    </row>
    <row r="58" spans="1:11" s="355" customFormat="1" ht="11.4" x14ac:dyDescent="0.25">
      <c r="I58" s="409"/>
      <c r="K58" s="410"/>
    </row>
    <row r="59" spans="1:11" s="355" customFormat="1" ht="12" thickBot="1" x14ac:dyDescent="0.3">
      <c r="D59" s="453"/>
      <c r="I59" s="409"/>
      <c r="K59" s="410"/>
    </row>
    <row r="60" spans="1:11" s="355" customFormat="1" ht="12.6" thickBot="1" x14ac:dyDescent="0.3">
      <c r="A60" s="429" t="s">
        <v>718</v>
      </c>
      <c r="B60" s="430"/>
      <c r="C60" s="431"/>
      <c r="D60" s="431"/>
      <c r="E60" s="432"/>
      <c r="F60" s="433"/>
      <c r="G60" s="431"/>
      <c r="H60" s="434"/>
      <c r="I60" s="435"/>
      <c r="J60" s="433"/>
      <c r="K60" s="436"/>
    </row>
    <row r="61" spans="1:11" s="440" customFormat="1" ht="21.75" customHeight="1" thickBot="1" x14ac:dyDescent="0.3">
      <c r="A61" s="437" t="s">
        <v>107</v>
      </c>
      <c r="B61" s="438">
        <v>3275873000</v>
      </c>
      <c r="C61" s="384">
        <v>5192074026</v>
      </c>
      <c r="D61" s="439">
        <v>2864111899</v>
      </c>
      <c r="E61" s="497">
        <v>0.55163156084785758</v>
      </c>
      <c r="F61" s="388">
        <v>1608693317</v>
      </c>
      <c r="G61" s="388">
        <v>5646049178</v>
      </c>
      <c r="H61" s="388">
        <v>4140159096</v>
      </c>
      <c r="I61" s="472">
        <v>0.73328427816963659</v>
      </c>
      <c r="J61" s="473">
        <v>0.44552979841518403</v>
      </c>
      <c r="K61" s="498" t="s">
        <v>991</v>
      </c>
    </row>
    <row r="62" spans="1:11" s="440" customFormat="1" ht="12" thickBot="1" x14ac:dyDescent="0.3">
      <c r="A62" s="441" t="s">
        <v>822</v>
      </c>
      <c r="B62" s="438">
        <v>3095682400</v>
      </c>
      <c r="C62" s="384">
        <v>5970458810</v>
      </c>
      <c r="D62" s="384">
        <v>3356203694</v>
      </c>
      <c r="E62" s="497">
        <v>0.56213497166727799</v>
      </c>
      <c r="F62" s="388">
        <v>2960478919</v>
      </c>
      <c r="G62" s="388">
        <v>4664847358</v>
      </c>
      <c r="H62" s="388">
        <v>4078970234</v>
      </c>
      <c r="I62" s="472">
        <v>0.87440593892204266</v>
      </c>
      <c r="J62" s="473">
        <v>0.21535240584238508</v>
      </c>
      <c r="K62" s="498"/>
    </row>
    <row r="63" spans="1:11" s="440" customFormat="1" ht="28.5" customHeight="1" thickBot="1" x14ac:dyDescent="0.3">
      <c r="A63" s="437" t="s">
        <v>823</v>
      </c>
      <c r="B63" s="438">
        <v>1755000000</v>
      </c>
      <c r="C63" s="384">
        <v>3212753397</v>
      </c>
      <c r="D63" s="384">
        <v>2653347716</v>
      </c>
      <c r="E63" s="497">
        <v>0.82587967021609532</v>
      </c>
      <c r="F63" s="388">
        <v>800000000</v>
      </c>
      <c r="G63" s="388">
        <v>3700000000</v>
      </c>
      <c r="H63" s="388">
        <v>1110838453</v>
      </c>
      <c r="I63" s="472">
        <v>0.30022660891891889</v>
      </c>
      <c r="J63" s="473">
        <v>-0.58134456094784981</v>
      </c>
      <c r="K63" s="498" t="s">
        <v>836</v>
      </c>
    </row>
    <row r="64" spans="1:11" s="440" customFormat="1" ht="12" thickBot="1" x14ac:dyDescent="0.3">
      <c r="A64" s="437" t="s">
        <v>824</v>
      </c>
      <c r="B64" s="438">
        <v>782900000</v>
      </c>
      <c r="C64" s="384">
        <v>782900000</v>
      </c>
      <c r="D64" s="384">
        <v>497824330</v>
      </c>
      <c r="E64" s="497">
        <v>0.63587218035509008</v>
      </c>
      <c r="F64" s="388">
        <v>350000000</v>
      </c>
      <c r="G64" s="388">
        <v>369707887</v>
      </c>
      <c r="H64" s="388">
        <v>365650810</v>
      </c>
      <c r="I64" s="472">
        <v>0.98902626332123666</v>
      </c>
      <c r="J64" s="473">
        <v>-0.26550233091259318</v>
      </c>
      <c r="K64" s="498" t="s">
        <v>836</v>
      </c>
    </row>
    <row r="65" spans="1:11" s="440" customFormat="1" ht="12" thickBot="1" x14ac:dyDescent="0.3">
      <c r="A65" s="437" t="s">
        <v>124</v>
      </c>
      <c r="B65" s="438">
        <v>180000000</v>
      </c>
      <c r="C65" s="384">
        <v>680000000</v>
      </c>
      <c r="D65" s="384">
        <v>507469961</v>
      </c>
      <c r="E65" s="497">
        <v>0.74627935441176474</v>
      </c>
      <c r="F65" s="388">
        <v>122227000</v>
      </c>
      <c r="G65" s="388">
        <v>272967125</v>
      </c>
      <c r="H65" s="388">
        <v>266589912</v>
      </c>
      <c r="I65" s="472">
        <v>0.97663743207171927</v>
      </c>
      <c r="J65" s="473">
        <v>-0.47466858634416786</v>
      </c>
      <c r="K65" s="498" t="s">
        <v>836</v>
      </c>
    </row>
    <row r="66" spans="1:11" s="440" customFormat="1" ht="12" thickBot="1" x14ac:dyDescent="0.3">
      <c r="A66" s="437" t="s">
        <v>830</v>
      </c>
      <c r="B66" s="438">
        <v>12000000</v>
      </c>
      <c r="C66" s="384">
        <v>12000000</v>
      </c>
      <c r="D66" s="384">
        <v>12000000</v>
      </c>
      <c r="E66" s="497">
        <v>1</v>
      </c>
      <c r="F66" s="388">
        <v>30000000</v>
      </c>
      <c r="G66" s="388">
        <v>114602911</v>
      </c>
      <c r="H66" s="388">
        <v>84293676</v>
      </c>
      <c r="I66" s="472">
        <v>0.73552822755086911</v>
      </c>
      <c r="J66" s="473">
        <v>6.0244730000000004</v>
      </c>
      <c r="K66" s="498" t="s">
        <v>997</v>
      </c>
    </row>
    <row r="67" spans="1:11" s="440" customFormat="1" ht="33" customHeight="1" thickBot="1" x14ac:dyDescent="0.3">
      <c r="A67" s="437" t="s">
        <v>825</v>
      </c>
      <c r="B67" s="438">
        <v>250000000</v>
      </c>
      <c r="C67" s="384">
        <v>1030000000</v>
      </c>
      <c r="D67" s="384">
        <v>250000000</v>
      </c>
      <c r="E67" s="497">
        <v>0</v>
      </c>
      <c r="F67" s="388">
        <v>150000000</v>
      </c>
      <c r="G67" s="388">
        <v>18000000</v>
      </c>
      <c r="H67" s="388">
        <v>12500000</v>
      </c>
      <c r="I67" s="472">
        <v>0.69444444444444442</v>
      </c>
      <c r="J67" s="473">
        <v>-0.95</v>
      </c>
      <c r="K67" s="498" t="s">
        <v>836</v>
      </c>
    </row>
    <row r="68" spans="1:11" s="440" customFormat="1" ht="12" thickBot="1" x14ac:dyDescent="0.3">
      <c r="A68" s="437" t="s">
        <v>826</v>
      </c>
      <c r="B68" s="438">
        <v>533926000</v>
      </c>
      <c r="C68" s="384">
        <v>1350074000</v>
      </c>
      <c r="D68" s="384">
        <v>763926000</v>
      </c>
      <c r="E68" s="497">
        <v>0.56584009469110585</v>
      </c>
      <c r="F68" s="388">
        <v>350000000</v>
      </c>
      <c r="G68" s="388">
        <v>348700626</v>
      </c>
      <c r="H68" s="388">
        <v>245665277</v>
      </c>
      <c r="I68" s="472">
        <v>0.70451630620244432</v>
      </c>
      <c r="J68" s="473">
        <v>-0.67841744226535028</v>
      </c>
      <c r="K68" s="498" t="s">
        <v>836</v>
      </c>
    </row>
    <row r="69" spans="1:11" s="440" customFormat="1" ht="12" thickBot="1" x14ac:dyDescent="0.3">
      <c r="A69" s="437" t="s">
        <v>827</v>
      </c>
      <c r="B69" s="438">
        <v>300074000</v>
      </c>
      <c r="C69" s="384">
        <v>764041109</v>
      </c>
      <c r="D69" s="384">
        <v>583216291</v>
      </c>
      <c r="E69" s="497">
        <v>0.76333103563410487</v>
      </c>
      <c r="F69" s="388">
        <v>400000000</v>
      </c>
      <c r="G69" s="388">
        <v>450000000</v>
      </c>
      <c r="H69" s="388">
        <v>431602000</v>
      </c>
      <c r="I69" s="472">
        <v>0.95911555555555561</v>
      </c>
      <c r="J69" s="473">
        <v>-0.259962373033232</v>
      </c>
      <c r="K69" s="498" t="s">
        <v>836</v>
      </c>
    </row>
    <row r="70" spans="1:11" s="440" customFormat="1" ht="12" thickBot="1" x14ac:dyDescent="0.3">
      <c r="A70" s="442" t="s">
        <v>828</v>
      </c>
      <c r="B70" s="443">
        <v>250000000</v>
      </c>
      <c r="C70" s="444">
        <v>6399158045</v>
      </c>
      <c r="D70" s="444">
        <v>5139656833</v>
      </c>
      <c r="E70" s="499">
        <v>0</v>
      </c>
      <c r="F70" s="445">
        <v>50000000</v>
      </c>
      <c r="G70" s="445">
        <v>1861330620</v>
      </c>
      <c r="H70" s="445">
        <v>814062996</v>
      </c>
      <c r="I70" s="472">
        <v>0.43735539901019843</v>
      </c>
      <c r="J70" s="473">
        <v>-0.84161141055698963</v>
      </c>
      <c r="K70" s="498" t="s">
        <v>836</v>
      </c>
    </row>
    <row r="71" spans="1:11" s="355" customFormat="1" ht="11.4" x14ac:dyDescent="0.25">
      <c r="I71" s="409"/>
      <c r="K71" s="446"/>
    </row>
    <row r="72" spans="1:11" s="355" customFormat="1" ht="44.25" customHeight="1" thickBot="1" x14ac:dyDescent="0.3">
      <c r="I72" s="409"/>
      <c r="K72" s="446"/>
    </row>
    <row r="73" spans="1:11" s="355" customFormat="1" ht="34.799999999999997" thickBot="1" x14ac:dyDescent="0.3">
      <c r="A73" s="404" t="s">
        <v>222</v>
      </c>
      <c r="B73" s="447">
        <v>10435455400</v>
      </c>
      <c r="C73" s="447">
        <v>25393459387</v>
      </c>
      <c r="D73" s="447">
        <v>16627756724</v>
      </c>
      <c r="E73" s="500">
        <v>0.65480470662112544</v>
      </c>
      <c r="F73" s="447">
        <v>6821399236</v>
      </c>
      <c r="G73" s="447">
        <v>17446205705</v>
      </c>
      <c r="H73" s="447">
        <v>11550332454</v>
      </c>
      <c r="I73" s="500">
        <v>0.66205412508060302</v>
      </c>
      <c r="J73" s="489">
        <v>-0.30535834474120011</v>
      </c>
      <c r="K73" s="501" t="s">
        <v>976</v>
      </c>
    </row>
    <row r="74" spans="1:11" s="355" customFormat="1" ht="54" customHeight="1" thickBot="1" x14ac:dyDescent="0.3">
      <c r="A74" s="448"/>
      <c r="B74" s="449"/>
      <c r="C74" s="449"/>
      <c r="D74" s="449">
        <v>0</v>
      </c>
      <c r="E74" s="502"/>
      <c r="F74" s="450"/>
      <c r="G74" s="450"/>
      <c r="H74" s="450"/>
      <c r="I74" s="502"/>
      <c r="J74" s="502"/>
      <c r="K74" s="503"/>
    </row>
    <row r="75" spans="1:11" s="355" customFormat="1" ht="51.6" thickBot="1" x14ac:dyDescent="0.3">
      <c r="A75" s="404" t="s">
        <v>780</v>
      </c>
      <c r="B75" s="451">
        <v>17037252400</v>
      </c>
      <c r="C75" s="451">
        <v>31995256387</v>
      </c>
      <c r="D75" s="451">
        <v>22328444789</v>
      </c>
      <c r="E75" s="500">
        <v>0.69786735005106182</v>
      </c>
      <c r="F75" s="447">
        <v>13740636534</v>
      </c>
      <c r="G75" s="447">
        <v>24365443003</v>
      </c>
      <c r="H75" s="447">
        <v>16917857425</v>
      </c>
      <c r="I75" s="500">
        <v>0.69433818309467987</v>
      </c>
      <c r="J75" s="489">
        <v>-0.24231814688076705</v>
      </c>
      <c r="K75" s="504" t="s">
        <v>992</v>
      </c>
    </row>
    <row r="76" spans="1:11" s="355" customFormat="1" ht="11.4" x14ac:dyDescent="0.25">
      <c r="D76" s="452">
        <v>2855990721</v>
      </c>
      <c r="F76" s="452">
        <v>-10624806469</v>
      </c>
      <c r="I76" s="409"/>
      <c r="K76" s="446" t="s">
        <v>783</v>
      </c>
    </row>
    <row r="77" spans="1:11" s="355" customFormat="1" ht="11.4" x14ac:dyDescent="0.25">
      <c r="B77" s="453"/>
      <c r="C77" s="453"/>
      <c r="D77" s="453">
        <v>5</v>
      </c>
      <c r="F77" s="454"/>
      <c r="G77" s="454"/>
      <c r="H77" s="454"/>
      <c r="I77" s="409"/>
      <c r="K77" s="446"/>
    </row>
    <row r="78" spans="1:11" s="355" customFormat="1" ht="11.4" x14ac:dyDescent="0.25">
      <c r="B78" s="455"/>
      <c r="C78" s="455"/>
      <c r="D78" s="455"/>
      <c r="E78" s="455"/>
      <c r="F78" s="454"/>
      <c r="G78" s="454"/>
      <c r="H78" s="454"/>
      <c r="I78" s="409"/>
      <c r="K78" s="446"/>
    </row>
    <row r="79" spans="1:11" s="355" customFormat="1" ht="11.4" x14ac:dyDescent="0.25">
      <c r="B79" s="188"/>
      <c r="C79" s="188"/>
      <c r="D79" s="188"/>
      <c r="F79" s="453"/>
      <c r="G79" s="453"/>
      <c r="H79" s="453"/>
      <c r="I79" s="409"/>
      <c r="K79" s="446"/>
    </row>
    <row r="80" spans="1:11" s="355" customFormat="1" ht="11.4" x14ac:dyDescent="0.25">
      <c r="H80" s="456"/>
      <c r="I80" s="409"/>
      <c r="K80" s="446"/>
    </row>
    <row r="81" spans="1:11" s="355" customFormat="1" ht="12" x14ac:dyDescent="0.25">
      <c r="A81" s="382"/>
      <c r="D81" s="457"/>
      <c r="E81" s="448"/>
      <c r="F81" s="448"/>
      <c r="H81" s="457"/>
      <c r="K81" s="446"/>
    </row>
    <row r="82" spans="1:11" s="355" customFormat="1" ht="12" customHeight="1" x14ac:dyDescent="0.25">
      <c r="D82" s="458"/>
      <c r="E82" s="459"/>
      <c r="F82" s="459"/>
      <c r="H82" s="440"/>
      <c r="K82" s="446"/>
    </row>
    <row r="83" spans="1:11" s="355" customFormat="1" ht="11.4" x14ac:dyDescent="0.25">
      <c r="I83" s="409"/>
      <c r="K83" s="446"/>
    </row>
    <row r="84" spans="1:11" s="355" customFormat="1" ht="11.4" x14ac:dyDescent="0.25">
      <c r="I84" s="409"/>
      <c r="K84" s="446"/>
    </row>
    <row r="85" spans="1:11" s="355" customFormat="1" ht="11.4" x14ac:dyDescent="0.25">
      <c r="I85" s="409"/>
      <c r="K85" s="446"/>
    </row>
    <row r="86" spans="1:11" s="355" customFormat="1" ht="11.4" x14ac:dyDescent="0.25">
      <c r="I86" s="409"/>
      <c r="K86" s="446"/>
    </row>
    <row r="87" spans="1:11" s="355" customFormat="1" ht="11.4" x14ac:dyDescent="0.25">
      <c r="I87" s="409"/>
      <c r="K87" s="446"/>
    </row>
    <row r="88" spans="1:11" s="355" customFormat="1" ht="11.4" x14ac:dyDescent="0.25">
      <c r="I88" s="409"/>
      <c r="K88" s="446"/>
    </row>
    <row r="89" spans="1:11" s="355" customFormat="1" ht="11.4" x14ac:dyDescent="0.25">
      <c r="I89" s="409"/>
      <c r="K89" s="446"/>
    </row>
    <row r="90" spans="1:11" s="355" customFormat="1" ht="11.4" x14ac:dyDescent="0.25">
      <c r="I90" s="409"/>
      <c r="K90" s="446"/>
    </row>
    <row r="91" spans="1:11" s="355" customFormat="1" ht="11.4" x14ac:dyDescent="0.25">
      <c r="I91" s="409"/>
      <c r="K91" s="446"/>
    </row>
    <row r="92" spans="1:11" s="355" customFormat="1" ht="11.4" x14ac:dyDescent="0.25">
      <c r="I92" s="409"/>
      <c r="K92" s="446"/>
    </row>
    <row r="93" spans="1:11" s="355" customFormat="1" ht="11.4" x14ac:dyDescent="0.25">
      <c r="I93" s="409"/>
      <c r="K93" s="446"/>
    </row>
    <row r="94" spans="1:11" s="355" customFormat="1" ht="11.4" x14ac:dyDescent="0.25">
      <c r="I94" s="409"/>
      <c r="K94" s="446"/>
    </row>
    <row r="95" spans="1:11" s="355" customFormat="1" ht="11.4" x14ac:dyDescent="0.25">
      <c r="I95" s="409"/>
      <c r="K95" s="446"/>
    </row>
    <row r="96" spans="1:11" s="355" customFormat="1" ht="11.4" x14ac:dyDescent="0.25">
      <c r="I96" s="409"/>
      <c r="K96" s="446"/>
    </row>
    <row r="97" spans="9:11" s="355" customFormat="1" ht="11.4" x14ac:dyDescent="0.25">
      <c r="I97" s="409"/>
      <c r="K97" s="446"/>
    </row>
    <row r="98" spans="9:11" s="355" customFormat="1" ht="11.4" x14ac:dyDescent="0.25">
      <c r="I98" s="409"/>
      <c r="K98" s="446"/>
    </row>
    <row r="99" spans="9:11" s="355" customFormat="1" ht="11.4" x14ac:dyDescent="0.25">
      <c r="I99" s="409"/>
      <c r="K99" s="446"/>
    </row>
    <row r="100" spans="9:11" s="355" customFormat="1" ht="11.4" x14ac:dyDescent="0.25">
      <c r="I100" s="409"/>
      <c r="K100" s="446"/>
    </row>
    <row r="101" spans="9:11" s="355" customFormat="1" ht="11.4" x14ac:dyDescent="0.25">
      <c r="I101" s="409"/>
      <c r="K101" s="446"/>
    </row>
    <row r="102" spans="9:11" s="355" customFormat="1" ht="11.4" x14ac:dyDescent="0.25">
      <c r="I102" s="409"/>
      <c r="K102" s="446"/>
    </row>
    <row r="103" spans="9:11" s="355" customFormat="1" ht="11.4" x14ac:dyDescent="0.25">
      <c r="I103" s="409"/>
      <c r="K103" s="446"/>
    </row>
    <row r="104" spans="9:11" s="355" customFormat="1" ht="11.4" x14ac:dyDescent="0.25">
      <c r="I104" s="409"/>
      <c r="K104" s="446"/>
    </row>
    <row r="105" spans="9:11" s="355" customFormat="1" ht="11.4" x14ac:dyDescent="0.25">
      <c r="I105" s="409"/>
      <c r="K105" s="446"/>
    </row>
    <row r="106" spans="9:11" s="355" customFormat="1" ht="11.4" x14ac:dyDescent="0.25">
      <c r="I106" s="409"/>
      <c r="K106" s="446"/>
    </row>
    <row r="107" spans="9:11" s="355" customFormat="1" ht="11.4" x14ac:dyDescent="0.25">
      <c r="I107" s="409"/>
      <c r="K107" s="446"/>
    </row>
    <row r="108" spans="9:11" s="355" customFormat="1" ht="11.4" x14ac:dyDescent="0.25">
      <c r="I108" s="409"/>
      <c r="K108" s="446"/>
    </row>
    <row r="109" spans="9:11" s="355" customFormat="1" ht="11.4" x14ac:dyDescent="0.25">
      <c r="I109" s="409"/>
      <c r="K109" s="446"/>
    </row>
    <row r="110" spans="9:11" s="355" customFormat="1" ht="11.4" x14ac:dyDescent="0.25">
      <c r="I110" s="409"/>
      <c r="K110" s="446"/>
    </row>
    <row r="111" spans="9:11" s="355" customFormat="1" ht="11.4" x14ac:dyDescent="0.25">
      <c r="I111" s="409"/>
      <c r="K111" s="446"/>
    </row>
    <row r="112" spans="9:11" s="355" customFormat="1" ht="11.4" x14ac:dyDescent="0.25">
      <c r="I112" s="409"/>
      <c r="K112" s="446"/>
    </row>
    <row r="113" spans="9:11" s="355" customFormat="1" ht="11.4" x14ac:dyDescent="0.25">
      <c r="I113" s="409"/>
      <c r="K113" s="446"/>
    </row>
    <row r="114" spans="9:11" s="355" customFormat="1" ht="11.4" x14ac:dyDescent="0.25">
      <c r="I114" s="409"/>
      <c r="K114" s="446"/>
    </row>
    <row r="115" spans="9:11" s="355" customFormat="1" ht="11.4" x14ac:dyDescent="0.25">
      <c r="I115" s="409"/>
      <c r="K115" s="446"/>
    </row>
    <row r="116" spans="9:11" s="355" customFormat="1" ht="11.4" x14ac:dyDescent="0.25">
      <c r="I116" s="409"/>
      <c r="K116" s="446"/>
    </row>
    <row r="117" spans="9:11" s="355" customFormat="1" ht="11.4" x14ac:dyDescent="0.25">
      <c r="I117" s="409"/>
      <c r="K117" s="446"/>
    </row>
    <row r="118" spans="9:11" s="355" customFormat="1" ht="11.4" x14ac:dyDescent="0.25">
      <c r="I118" s="409"/>
      <c r="K118" s="446"/>
    </row>
    <row r="119" spans="9:11" s="355" customFormat="1" ht="11.4" x14ac:dyDescent="0.25">
      <c r="I119" s="409"/>
      <c r="K119" s="446"/>
    </row>
    <row r="120" spans="9:11" s="355" customFormat="1" ht="11.4" x14ac:dyDescent="0.25">
      <c r="I120" s="409"/>
      <c r="K120" s="446"/>
    </row>
    <row r="121" spans="9:11" s="355" customFormat="1" ht="11.4" x14ac:dyDescent="0.25">
      <c r="I121" s="409"/>
      <c r="K121" s="446"/>
    </row>
    <row r="122" spans="9:11" s="355" customFormat="1" ht="11.4" x14ac:dyDescent="0.25">
      <c r="I122" s="409"/>
      <c r="K122" s="446"/>
    </row>
    <row r="123" spans="9:11" s="355" customFormat="1" ht="11.4" x14ac:dyDescent="0.25">
      <c r="I123" s="409"/>
      <c r="K123" s="446"/>
    </row>
    <row r="124" spans="9:11" s="355" customFormat="1" ht="11.4" x14ac:dyDescent="0.25">
      <c r="I124" s="409"/>
      <c r="K124" s="446"/>
    </row>
    <row r="125" spans="9:11" s="355" customFormat="1" ht="11.4" x14ac:dyDescent="0.25">
      <c r="I125" s="409"/>
      <c r="K125" s="446"/>
    </row>
    <row r="126" spans="9:11" s="355" customFormat="1" ht="11.4" x14ac:dyDescent="0.25">
      <c r="I126" s="409"/>
      <c r="K126" s="446"/>
    </row>
    <row r="127" spans="9:11" s="355" customFormat="1" ht="11.4" x14ac:dyDescent="0.25">
      <c r="I127" s="409"/>
      <c r="K127" s="446"/>
    </row>
    <row r="128" spans="9:11" s="355" customFormat="1" ht="11.4" x14ac:dyDescent="0.25">
      <c r="I128" s="409"/>
      <c r="K128" s="446"/>
    </row>
    <row r="129" spans="1:11" s="355" customFormat="1" ht="11.4" x14ac:dyDescent="0.25">
      <c r="I129" s="409"/>
      <c r="K129" s="446"/>
    </row>
    <row r="130" spans="1:11" s="355" customFormat="1" ht="11.4" x14ac:dyDescent="0.25">
      <c r="I130" s="409"/>
      <c r="K130" s="446"/>
    </row>
    <row r="131" spans="1:11" s="355" customFormat="1" ht="11.4" x14ac:dyDescent="0.25">
      <c r="I131" s="409"/>
      <c r="K131" s="446"/>
    </row>
    <row r="132" spans="1:11" s="355" customFormat="1" ht="11.4" x14ac:dyDescent="0.25">
      <c r="I132" s="409"/>
      <c r="K132" s="446"/>
    </row>
    <row r="133" spans="1:11" s="355" customFormat="1" ht="11.4" x14ac:dyDescent="0.25">
      <c r="I133" s="409"/>
      <c r="K133" s="446"/>
    </row>
    <row r="134" spans="1:11" s="355" customFormat="1" ht="11.4" x14ac:dyDescent="0.25">
      <c r="I134" s="409"/>
      <c r="K134" s="446"/>
    </row>
    <row r="135" spans="1:11" s="355" customFormat="1" ht="11.4" x14ac:dyDescent="0.25">
      <c r="I135" s="409"/>
      <c r="K135" s="446"/>
    </row>
    <row r="136" spans="1:11" s="355" customFormat="1" ht="11.4" x14ac:dyDescent="0.25">
      <c r="I136" s="409"/>
      <c r="K136" s="446"/>
    </row>
    <row r="137" spans="1:11" s="355" customFormat="1" ht="11.4" x14ac:dyDescent="0.25">
      <c r="I137" s="409"/>
      <c r="K137" s="446"/>
    </row>
    <row r="138" spans="1:11" s="355" customFormat="1" ht="11.4" x14ac:dyDescent="0.25">
      <c r="I138" s="409"/>
      <c r="K138" s="446"/>
    </row>
    <row r="139" spans="1:11" s="355" customFormat="1" ht="11.4" x14ac:dyDescent="0.25">
      <c r="I139" s="409"/>
      <c r="K139" s="446"/>
    </row>
    <row r="140" spans="1:11" x14ac:dyDescent="0.25">
      <c r="A140" s="355"/>
      <c r="B140" s="355"/>
      <c r="C140" s="355"/>
      <c r="D140" s="355"/>
      <c r="E140" s="355"/>
      <c r="F140" s="355"/>
      <c r="G140" s="355"/>
      <c r="H140" s="355"/>
      <c r="I140" s="409"/>
      <c r="J140" s="355"/>
      <c r="K140" s="446"/>
    </row>
    <row r="141" spans="1:11" x14ac:dyDescent="0.25">
      <c r="B141" s="354"/>
      <c r="C141" s="354"/>
      <c r="D141" s="354"/>
      <c r="E141" s="354"/>
    </row>
    <row r="142" spans="1:11" x14ac:dyDescent="0.25">
      <c r="B142" s="354"/>
      <c r="C142" s="354"/>
      <c r="D142" s="354"/>
      <c r="E142" s="354"/>
    </row>
    <row r="143" spans="1:11" x14ac:dyDescent="0.25">
      <c r="B143" s="354"/>
      <c r="C143" s="354"/>
      <c r="D143" s="354"/>
      <c r="E143" s="354"/>
    </row>
    <row r="144" spans="1:11" x14ac:dyDescent="0.25">
      <c r="B144" s="354"/>
      <c r="C144" s="354"/>
      <c r="D144" s="354"/>
      <c r="E144" s="354"/>
    </row>
    <row r="145" spans="2:5" x14ac:dyDescent="0.25">
      <c r="B145" s="354"/>
      <c r="C145" s="354"/>
      <c r="D145" s="354"/>
      <c r="E145" s="354"/>
    </row>
  </sheetData>
  <autoFilter ref="A9:K9" xr:uid="{CBFE4E5B-DCA6-4B5B-9FCE-C4D348807D5C}"/>
  <mergeCells count="8">
    <mergeCell ref="A5:A6"/>
    <mergeCell ref="A1:K1"/>
    <mergeCell ref="A2:K2"/>
    <mergeCell ref="A3:K3"/>
    <mergeCell ref="K5:K6"/>
    <mergeCell ref="B5:E5"/>
    <mergeCell ref="F5:I5"/>
    <mergeCell ref="J5:J6"/>
  </mergeCells>
  <printOptions horizontalCentered="1"/>
  <pageMargins left="0.43307086614173229" right="0.23622047244094491" top="0" bottom="0" header="0.23622047244094491" footer="0.15748031496062992"/>
  <pageSetup paperSize="14"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gastos</vt:lpstr>
      <vt:lpstr>ejec_ICPA</vt:lpstr>
      <vt:lpstr>vigencia</vt:lpstr>
      <vt:lpstr>POAI</vt:lpstr>
      <vt:lpstr>vig.futuras</vt:lpstr>
      <vt:lpstr>reserva</vt:lpstr>
      <vt:lpstr>ctas por pagar</vt:lpstr>
      <vt:lpstr>comparativo_g</vt:lpstr>
      <vt:lpstr>gas_2019_2020</vt:lpstr>
      <vt:lpstr>ejec_G_publicar</vt:lpstr>
      <vt:lpstr>ej_res</vt:lpstr>
      <vt:lpstr>ej_cxp</vt:lpstr>
      <vt:lpstr>CIERRE</vt:lpstr>
      <vt:lpstr>Hoja2</vt:lpstr>
      <vt:lpstr>gas_2019_2020!Área_de_impresión</vt:lpstr>
      <vt:lpstr>gas_2019_2020!Títulos_a_imprimir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Zutta</dc:creator>
  <cp:lastModifiedBy>Sandra Patricia Zutta</cp:lastModifiedBy>
  <dcterms:created xsi:type="dcterms:W3CDTF">2019-11-06T17:52:48Z</dcterms:created>
  <dcterms:modified xsi:type="dcterms:W3CDTF">2022-05-13T12:51:59Z</dcterms:modified>
</cp:coreProperties>
</file>